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45" yWindow="-210" windowWidth="24240" windowHeight="5175" tabRatio="599" activeTab="1"/>
  </bookViews>
  <sheets>
    <sheet name="Spis treści_Contents" sheetId="41" r:id="rId1"/>
    <sheet name="1_Podstawowe dane_Key data" sheetId="5" r:id="rId2"/>
    <sheet name="2_RZiS_P&amp;L" sheetId="1" r:id="rId3"/>
    <sheet name="3_Odsetkowy_NII" sheetId="15" r:id="rId4"/>
    <sheet name="4_Prowizyjny_F&amp;C" sheetId="18" r:id="rId5"/>
    <sheet name="5_Koszty adm_Adm expenses" sheetId="13" r:id="rId6"/>
    <sheet name="6_Operacyjne_Operating income" sheetId="31" r:id="rId7"/>
    <sheet name="7_Odpisy_Impairments" sheetId="30" r:id="rId8"/>
    <sheet name="8_Bilans_Balance sheet" sheetId="2" r:id="rId9"/>
    <sheet name="9_Kredyty_Loans" sheetId="19" r:id="rId10"/>
    <sheet name="9a_Kredyty Loans_OLD" sheetId="22" r:id="rId11"/>
    <sheet name="10_Jakość portfela_Portf. quali" sheetId="20" r:id="rId12"/>
    <sheet name="10a_Jakość portf._Port qual_OLD" sheetId="36" r:id="rId13"/>
    <sheet name="11_Depozyty_Deposits" sheetId="21" r:id="rId14"/>
    <sheet name="11a_Depozyty Deposits_OLD" sheetId="23" r:id="rId15"/>
    <sheet name="12_Adekwatność_Capital adequacy" sheetId="40" r:id="rId16"/>
    <sheet name="13_RZiS_Detal_P&amp;L_Retail" sheetId="24" r:id="rId17"/>
    <sheet name="14_RZiS_C&amp;I_P&amp;L_C&amp;I" sheetId="25" r:id="rId18"/>
  </sheets>
  <externalReferences>
    <externalReference r:id="rId19"/>
    <externalReference r:id="rId20"/>
  </externalReferences>
  <definedNames>
    <definedName name="LangSelID">[1]POLENG!$I$3</definedName>
    <definedName name="_xlnm.Print_Area" localSheetId="1">'1_Podstawowe dane_Key data'!$A$1:$AQ$79</definedName>
    <definedName name="_xlnm.Print_Area" localSheetId="11">'10_Jakość portfela_Portf. quali'!$A$1:$AQ$60</definedName>
    <definedName name="_xlnm.Print_Area" localSheetId="12">'10a_Jakość portf._Port qual_OLD'!$A$1:$AM$58</definedName>
    <definedName name="_xlnm.Print_Area" localSheetId="13">'11_Depozyty_Deposits'!$A$1:$AQ$47</definedName>
    <definedName name="_xlnm.Print_Area" localSheetId="14">'11a_Depozyty Deposits_OLD'!$A$1:$AQ$32</definedName>
    <definedName name="_xlnm.Print_Area" localSheetId="15">'12_Adekwatność_Capital adequacy'!$A$1:$AQ$64</definedName>
    <definedName name="_xlnm.Print_Area" localSheetId="16">'13_RZiS_Detal_P&amp;L_Retail'!$A$1:$AQ$21</definedName>
    <definedName name="_xlnm.Print_Area" localSheetId="17">'14_RZiS_C&amp;I_P&amp;L_C&amp;I'!$A$1:$AQ$23</definedName>
    <definedName name="_xlnm.Print_Area" localSheetId="2">'2_RZiS_P&amp;L'!$A$1:$AQ$30</definedName>
    <definedName name="_xlnm.Print_Area" localSheetId="3">'3_Odsetkowy_NII'!$A$1:$AQ$54</definedName>
    <definedName name="_xlnm.Print_Area" localSheetId="4">'4_Prowizyjny_F&amp;C'!$A$1:$AQ$33</definedName>
    <definedName name="_xlnm.Print_Area" localSheetId="5">'5_Koszty adm_Adm expenses'!$A$1:$AQ$22</definedName>
    <definedName name="_xlnm.Print_Area" localSheetId="6">'6_Operacyjne_Operating income'!$A$1:$AQ$28</definedName>
    <definedName name="_xlnm.Print_Area" localSheetId="7">'7_Odpisy_Impairments'!$A$1:$AQ$21</definedName>
    <definedName name="_xlnm.Print_Area" localSheetId="8">'8_Bilans_Balance sheet'!$A$1:$AQ$67</definedName>
    <definedName name="_xlnm.Print_Area" localSheetId="9">'9_Kredyty_Loans'!$A$1:$AQ$31</definedName>
    <definedName name="_xlnm.Print_Area" localSheetId="10">'9a_Kredyty Loans_OLD'!$A$1:$AM$32</definedName>
    <definedName name="_xlnm.Print_Area" localSheetId="0">'Spis treści_Contents'!$A$1:$C$23</definedName>
  </definedNames>
  <calcPr calcId="145621"/>
</workbook>
</file>

<file path=xl/calcChain.xml><?xml version="1.0" encoding="utf-8"?>
<calcChain xmlns="http://schemas.openxmlformats.org/spreadsheetml/2006/main">
  <c r="AQ58" i="20" l="1"/>
  <c r="AM63" i="5" l="1"/>
  <c r="W63" i="5"/>
  <c r="S63" i="5"/>
  <c r="O63" i="5"/>
  <c r="K63" i="5"/>
  <c r="G63" i="5"/>
  <c r="AO10" i="5" l="1"/>
  <c r="AP10" i="5"/>
  <c r="AQ10" i="5"/>
  <c r="AN10" i="5"/>
  <c r="AO36" i="5"/>
  <c r="AP36" i="5"/>
  <c r="AQ36" i="5"/>
  <c r="AN36" i="5"/>
  <c r="Q33" i="5" l="1"/>
  <c r="R33" i="5"/>
  <c r="Q32" i="5"/>
  <c r="R32" i="5"/>
  <c r="P33" i="5"/>
  <c r="P32" i="5"/>
  <c r="P32" i="36"/>
  <c r="S33" i="18"/>
  <c r="S6" i="5"/>
  <c r="E6" i="5" l="1"/>
  <c r="F6" i="5"/>
  <c r="G6" i="5"/>
  <c r="H6" i="5"/>
  <c r="I6" i="5"/>
  <c r="J6" i="5"/>
  <c r="K6" i="5"/>
  <c r="L6" i="5"/>
  <c r="M6" i="5"/>
  <c r="N6" i="5"/>
  <c r="O6" i="5"/>
  <c r="P6" i="5"/>
  <c r="Q6" i="5"/>
  <c r="R6" i="5"/>
  <c r="T6" i="5"/>
  <c r="U6" i="5"/>
  <c r="V6" i="5"/>
  <c r="W6" i="5"/>
  <c r="X6" i="5"/>
  <c r="Y6" i="5"/>
  <c r="Z6" i="5"/>
  <c r="AA6" i="5"/>
  <c r="AB6" i="5"/>
  <c r="AC6" i="5"/>
  <c r="AD6" i="5"/>
  <c r="AE6" i="5"/>
  <c r="AF6" i="5"/>
  <c r="AG6" i="5"/>
  <c r="AH6" i="5"/>
  <c r="AI6" i="5"/>
  <c r="AJ6" i="5"/>
  <c r="AK6" i="5"/>
  <c r="AL6" i="5"/>
  <c r="AM6" i="5"/>
  <c r="AN6" i="5"/>
  <c r="AO6" i="5"/>
  <c r="AP6" i="5"/>
  <c r="AQ6" i="5"/>
  <c r="D6" i="5"/>
  <c r="AQ8" i="5" l="1"/>
  <c r="AJ5" i="5" l="1"/>
  <c r="AK5" i="5"/>
  <c r="AL5" i="5"/>
  <c r="AM5" i="5"/>
  <c r="AN5" i="5"/>
  <c r="AO5" i="5"/>
  <c r="AP5" i="5"/>
  <c r="AQ5" i="5"/>
  <c r="Q11" i="1"/>
  <c r="R11" i="1"/>
  <c r="S11" i="1"/>
  <c r="P11" i="1"/>
  <c r="AP22" i="21" l="1"/>
  <c r="AQ22" i="21"/>
  <c r="E53" i="5"/>
  <c r="E54" i="5" s="1"/>
  <c r="F53" i="5"/>
  <c r="F54" i="5" s="1"/>
  <c r="G53" i="5"/>
  <c r="G54" i="5" s="1"/>
  <c r="H53" i="5"/>
  <c r="H54" i="5" s="1"/>
  <c r="I53" i="5"/>
  <c r="I54" i="5" s="1"/>
  <c r="J53" i="5"/>
  <c r="J54" i="5" s="1"/>
  <c r="K53" i="5"/>
  <c r="K54" i="5" s="1"/>
  <c r="L53" i="5"/>
  <c r="L54" i="5" s="1"/>
  <c r="M53" i="5"/>
  <c r="M54" i="5" s="1"/>
  <c r="N53" i="5"/>
  <c r="N54" i="5" s="1"/>
  <c r="O53" i="5"/>
  <c r="O54" i="5" s="1"/>
  <c r="P53" i="5"/>
  <c r="P54" i="5" s="1"/>
  <c r="Q53" i="5"/>
  <c r="Q54" i="5" s="1"/>
  <c r="R53" i="5"/>
  <c r="R54" i="5" s="1"/>
  <c r="S53" i="5"/>
  <c r="S54" i="5" s="1"/>
  <c r="T53" i="5"/>
  <c r="T54" i="5" s="1"/>
  <c r="U53" i="5"/>
  <c r="U54" i="5" s="1"/>
  <c r="V53" i="5"/>
  <c r="V54" i="5" s="1"/>
  <c r="W53" i="5"/>
  <c r="W54" i="5" s="1"/>
  <c r="X53" i="5"/>
  <c r="X54" i="5" s="1"/>
  <c r="Y53" i="5"/>
  <c r="Y54" i="5" s="1"/>
  <c r="Z53" i="5"/>
  <c r="Z54" i="5" s="1"/>
  <c r="AA53" i="5"/>
  <c r="AA54" i="5" s="1"/>
  <c r="AB53" i="5"/>
  <c r="AB54" i="5" s="1"/>
  <c r="AC53" i="5"/>
  <c r="AC54" i="5" s="1"/>
  <c r="AD53" i="5"/>
  <c r="AD54" i="5" s="1"/>
  <c r="AE53" i="5"/>
  <c r="AE54" i="5" s="1"/>
  <c r="AF53" i="5"/>
  <c r="AF54" i="5" s="1"/>
  <c r="AG53" i="5"/>
  <c r="AG54" i="5" s="1"/>
  <c r="AH53" i="5"/>
  <c r="AH54" i="5" s="1"/>
  <c r="AI53" i="5"/>
  <c r="AI54" i="5" s="1"/>
  <c r="AJ53" i="5"/>
  <c r="AJ54" i="5" s="1"/>
  <c r="AK53" i="5"/>
  <c r="AK54" i="5" s="1"/>
  <c r="AL53" i="5"/>
  <c r="AL54" i="5" s="1"/>
  <c r="AM53" i="5"/>
  <c r="AM54" i="5" s="1"/>
  <c r="AN53" i="5"/>
  <c r="AN54" i="5" s="1"/>
  <c r="AO53" i="5"/>
  <c r="AO54" i="5" s="1"/>
  <c r="AP53" i="5"/>
  <c r="AP54" i="5" s="1"/>
  <c r="AQ53" i="5"/>
  <c r="AQ54" i="5" s="1"/>
  <c r="D53" i="5"/>
  <c r="D54" i="5" s="1"/>
  <c r="AQ33" i="18" l="1"/>
  <c r="AP78" i="5"/>
  <c r="AO78" i="5"/>
  <c r="AP77" i="5"/>
  <c r="AO77" i="5"/>
  <c r="AI76" i="5"/>
  <c r="AH76" i="5"/>
  <c r="AG76" i="5"/>
  <c r="AF76" i="5"/>
  <c r="AE76" i="5"/>
  <c r="AD76" i="5"/>
  <c r="AC76" i="5"/>
  <c r="AB76" i="5"/>
  <c r="U76" i="5"/>
  <c r="T76" i="5"/>
  <c r="AP75" i="5"/>
  <c r="AO75" i="5"/>
  <c r="AP74" i="5"/>
  <c r="AO74" i="5"/>
  <c r="AP73" i="5"/>
  <c r="AO73" i="5"/>
  <c r="AD71" i="5"/>
  <c r="AC71" i="5"/>
  <c r="AP70" i="5"/>
  <c r="AO70" i="5"/>
  <c r="AP69" i="5"/>
  <c r="AO69" i="5"/>
  <c r="AP68" i="5"/>
  <c r="AO68" i="5"/>
  <c r="AO11" i="1" l="1"/>
  <c r="AM11" i="1"/>
  <c r="AN47" i="15" l="1"/>
  <c r="AM47" i="15"/>
  <c r="AL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F47" i="15"/>
  <c r="E47" i="15"/>
  <c r="D47" i="15"/>
  <c r="AO46" i="15"/>
  <c r="AN46" i="15"/>
  <c r="AF43" i="15"/>
  <c r="AF52" i="15" s="1"/>
  <c r="AD43" i="15"/>
  <c r="AD42" i="15" s="1"/>
  <c r="AC43" i="15"/>
  <c r="AC42" i="15" s="1"/>
  <c r="AB43" i="15"/>
  <c r="AB42" i="15" s="1"/>
  <c r="V43" i="15"/>
  <c r="V42" i="15" s="1"/>
  <c r="AP42" i="15"/>
  <c r="AO42" i="15"/>
  <c r="AN42" i="15"/>
  <c r="AM42" i="15"/>
  <c r="AL42" i="15"/>
  <c r="AK42" i="15"/>
  <c r="AJ42" i="15"/>
  <c r="AI42" i="15"/>
  <c r="AH42" i="15"/>
  <c r="AG42" i="15"/>
  <c r="AE42" i="15"/>
  <c r="AA42" i="15"/>
  <c r="Z42" i="15"/>
  <c r="Y42" i="15"/>
  <c r="X42" i="15"/>
  <c r="W42" i="15"/>
  <c r="U42" i="15"/>
  <c r="T42" i="15"/>
  <c r="S42" i="15"/>
  <c r="R42" i="15"/>
  <c r="Q42" i="15"/>
  <c r="P42" i="15"/>
  <c r="O42" i="15"/>
  <c r="N42" i="15"/>
  <c r="M42" i="15"/>
  <c r="L42" i="15"/>
  <c r="K42" i="15"/>
  <c r="J42" i="15"/>
  <c r="I42" i="15"/>
  <c r="H42" i="15"/>
  <c r="G42" i="15"/>
  <c r="F42" i="15"/>
  <c r="E42" i="15"/>
  <c r="D42" i="15"/>
  <c r="AF42" i="15" l="1"/>
  <c r="AE28" i="31" l="1"/>
  <c r="AB28" i="31"/>
  <c r="AC28" i="31"/>
  <c r="AD28" i="31"/>
  <c r="AF28" i="31"/>
  <c r="AG28" i="31"/>
  <c r="AH28" i="31"/>
  <c r="AI28" i="31"/>
  <c r="AQ43" i="40" l="1"/>
  <c r="AQ11" i="40"/>
  <c r="AQ61" i="40"/>
  <c r="AP61" i="40"/>
  <c r="AO61" i="40"/>
  <c r="AN61" i="40"/>
  <c r="AM61" i="40"/>
  <c r="AL61" i="40"/>
  <c r="AK61" i="40"/>
  <c r="AJ61" i="40"/>
  <c r="AI61" i="40"/>
  <c r="AH61" i="40"/>
  <c r="AG61" i="40"/>
  <c r="AF61" i="40"/>
  <c r="AE61" i="40"/>
  <c r="AD61" i="40"/>
  <c r="AC61" i="40"/>
  <c r="AB61" i="40"/>
  <c r="AA61" i="40"/>
  <c r="Z61" i="40"/>
  <c r="Y61" i="40"/>
  <c r="X61" i="40"/>
  <c r="W61" i="40"/>
  <c r="V61" i="40"/>
  <c r="U61" i="40"/>
  <c r="T61" i="40"/>
  <c r="S61" i="40"/>
  <c r="R61" i="40"/>
  <c r="Q61" i="40"/>
  <c r="P61" i="40"/>
  <c r="O61" i="40"/>
  <c r="N61" i="40"/>
  <c r="M61" i="40"/>
  <c r="L61" i="40"/>
  <c r="K61" i="40"/>
  <c r="J61" i="40"/>
  <c r="I61" i="40"/>
  <c r="H61" i="40"/>
  <c r="G61" i="40"/>
  <c r="E61" i="40"/>
  <c r="D61" i="40"/>
  <c r="F56" i="40"/>
  <c r="F61" i="40" s="1"/>
  <c r="AP47" i="40"/>
  <c r="AO47" i="40"/>
  <c r="AN47" i="40"/>
  <c r="AM47" i="40"/>
  <c r="AL47" i="40"/>
  <c r="AK47" i="40"/>
  <c r="AJ47" i="40"/>
  <c r="AI47" i="40"/>
  <c r="AH47" i="40"/>
  <c r="AG47" i="40"/>
  <c r="AF47" i="40"/>
  <c r="AE47" i="40"/>
  <c r="AD47" i="40"/>
  <c r="AC47" i="40"/>
  <c r="AB47" i="40"/>
  <c r="AA47" i="40"/>
  <c r="Z47" i="40"/>
  <c r="Y47" i="40"/>
  <c r="X47" i="40"/>
  <c r="W47" i="40"/>
  <c r="V47" i="40"/>
  <c r="U47" i="40"/>
  <c r="T47" i="40"/>
  <c r="S47" i="40"/>
  <c r="R47" i="40"/>
  <c r="Q47" i="40"/>
  <c r="P47" i="40"/>
  <c r="O47" i="40"/>
  <c r="N47" i="40"/>
  <c r="M47" i="40"/>
  <c r="L47" i="40"/>
  <c r="K47" i="40"/>
  <c r="J47" i="40"/>
  <c r="I47" i="40"/>
  <c r="H47" i="40"/>
  <c r="G47" i="40"/>
  <c r="F47" i="40"/>
  <c r="E47" i="40"/>
  <c r="D47" i="40"/>
  <c r="AQ37" i="40"/>
  <c r="AP43" i="40"/>
  <c r="AO43" i="40"/>
  <c r="AO37" i="40" s="1"/>
  <c r="AN43" i="40"/>
  <c r="AM43" i="40"/>
  <c r="AL43" i="40"/>
  <c r="AK43" i="40"/>
  <c r="AK37" i="40" s="1"/>
  <c r="AJ43" i="40"/>
  <c r="AI43" i="40"/>
  <c r="AH43" i="40"/>
  <c r="AG43" i="40"/>
  <c r="AG37" i="40" s="1"/>
  <c r="AF43" i="40"/>
  <c r="AE43" i="40"/>
  <c r="AD43" i="40"/>
  <c r="AC43" i="40"/>
  <c r="AC37" i="40" s="1"/>
  <c r="AB43" i="40"/>
  <c r="AA43" i="40"/>
  <c r="Z43" i="40"/>
  <c r="Y43" i="40"/>
  <c r="Y37" i="40" s="1"/>
  <c r="D42" i="40"/>
  <c r="X39" i="40"/>
  <c r="W39" i="40"/>
  <c r="V39" i="40"/>
  <c r="U39" i="40"/>
  <c r="U37" i="40" s="1"/>
  <c r="U64" i="40" s="1"/>
  <c r="T39" i="40"/>
  <c r="S39" i="40"/>
  <c r="R39" i="40"/>
  <c r="R37" i="40" s="1"/>
  <c r="Q39" i="40"/>
  <c r="P39" i="40"/>
  <c r="O39" i="40"/>
  <c r="N39" i="40"/>
  <c r="N37" i="40" s="1"/>
  <c r="N64" i="40" s="1"/>
  <c r="M39" i="40"/>
  <c r="L39" i="40"/>
  <c r="K39" i="40"/>
  <c r="J39" i="40"/>
  <c r="J37" i="40" s="1"/>
  <c r="I39" i="40"/>
  <c r="H39" i="40"/>
  <c r="G39" i="40"/>
  <c r="F39" i="40"/>
  <c r="F37" i="40" s="1"/>
  <c r="E39" i="40"/>
  <c r="AQ31" i="40"/>
  <c r="AP31" i="40"/>
  <c r="AO31" i="40"/>
  <c r="AN31" i="40"/>
  <c r="AM31" i="40"/>
  <c r="AL31" i="40"/>
  <c r="AK31" i="40"/>
  <c r="AJ31" i="40"/>
  <c r="AI31" i="40"/>
  <c r="AH31" i="40"/>
  <c r="AG31" i="40"/>
  <c r="AF31" i="40"/>
  <c r="AE31" i="40"/>
  <c r="AD31" i="40"/>
  <c r="AC31" i="40"/>
  <c r="AB31" i="40"/>
  <c r="AA31" i="40"/>
  <c r="Z31" i="40"/>
  <c r="Y31" i="40"/>
  <c r="X31" i="40"/>
  <c r="W31" i="40"/>
  <c r="V31" i="40"/>
  <c r="U31" i="40"/>
  <c r="T31" i="40"/>
  <c r="S31" i="40"/>
  <c r="R31" i="40"/>
  <c r="Q31" i="40"/>
  <c r="P31" i="40"/>
  <c r="O31" i="40"/>
  <c r="N31" i="40"/>
  <c r="M31" i="40"/>
  <c r="L31" i="40"/>
  <c r="K31" i="40"/>
  <c r="J31" i="40"/>
  <c r="I31" i="40"/>
  <c r="H31" i="40"/>
  <c r="G31" i="40"/>
  <c r="E31" i="40"/>
  <c r="F27" i="40"/>
  <c r="F26" i="40"/>
  <c r="D26" i="40"/>
  <c r="D31" i="40" s="1"/>
  <c r="AQ17" i="40"/>
  <c r="AP17" i="40"/>
  <c r="AO17" i="40"/>
  <c r="AN17" i="40"/>
  <c r="AM17" i="40"/>
  <c r="AL17" i="40"/>
  <c r="AK17" i="40"/>
  <c r="AJ17" i="40"/>
  <c r="AI17" i="40"/>
  <c r="AH17" i="40"/>
  <c r="AG17" i="40"/>
  <c r="AF17" i="40"/>
  <c r="AE17" i="40"/>
  <c r="AD17" i="40"/>
  <c r="AC17" i="40"/>
  <c r="AB17" i="40"/>
  <c r="AA17" i="40"/>
  <c r="Z17" i="40"/>
  <c r="Y17" i="40"/>
  <c r="X17" i="40"/>
  <c r="W17" i="40"/>
  <c r="V17" i="40"/>
  <c r="U17" i="40"/>
  <c r="T17" i="40"/>
  <c r="S17" i="40"/>
  <c r="R17" i="40"/>
  <c r="Q17" i="40"/>
  <c r="P17" i="40"/>
  <c r="O17" i="40"/>
  <c r="N17" i="40"/>
  <c r="M17" i="40"/>
  <c r="L17" i="40"/>
  <c r="K17" i="40"/>
  <c r="J17" i="40"/>
  <c r="I17" i="40"/>
  <c r="H17" i="40"/>
  <c r="G17" i="40"/>
  <c r="F17" i="40"/>
  <c r="E17" i="40"/>
  <c r="D17" i="40"/>
  <c r="AB5" i="40"/>
  <c r="AE13" i="40"/>
  <c r="AP11" i="40"/>
  <c r="AP5" i="40" s="1"/>
  <c r="AO11" i="40"/>
  <c r="AO5" i="40" s="1"/>
  <c r="AO33" i="40" s="1"/>
  <c r="AN11" i="40"/>
  <c r="AM11" i="40"/>
  <c r="AM5" i="40" s="1"/>
  <c r="AL11" i="40"/>
  <c r="AL5" i="40" s="1"/>
  <c r="AK11" i="40"/>
  <c r="AK5" i="40" s="1"/>
  <c r="AK33" i="40" s="1"/>
  <c r="AJ11" i="40"/>
  <c r="AI11" i="40"/>
  <c r="AI5" i="40" s="1"/>
  <c r="AH11" i="40"/>
  <c r="AH5" i="40" s="1"/>
  <c r="AG11" i="40"/>
  <c r="AG5" i="40" s="1"/>
  <c r="AG33" i="40" s="1"/>
  <c r="AF11" i="40"/>
  <c r="AE11" i="40"/>
  <c r="AD11" i="40"/>
  <c r="AD5" i="40" s="1"/>
  <c r="AC11" i="40"/>
  <c r="AC5" i="40" s="1"/>
  <c r="AC33" i="40" s="1"/>
  <c r="AA11" i="40"/>
  <c r="AA5" i="40" s="1"/>
  <c r="Z11" i="40"/>
  <c r="Y11" i="40"/>
  <c r="M11" i="40"/>
  <c r="D10" i="40"/>
  <c r="X7" i="40"/>
  <c r="W7" i="40"/>
  <c r="V7" i="40"/>
  <c r="V5" i="40" s="1"/>
  <c r="U7" i="40"/>
  <c r="U5" i="40" s="1"/>
  <c r="T7" i="40"/>
  <c r="T5" i="40" s="1"/>
  <c r="S7" i="40"/>
  <c r="R7" i="40"/>
  <c r="R5" i="40" s="1"/>
  <c r="Q7" i="40"/>
  <c r="Q5" i="40" s="1"/>
  <c r="P7" i="40"/>
  <c r="O7" i="40"/>
  <c r="O5" i="40" s="1"/>
  <c r="N7" i="40"/>
  <c r="N5" i="40" s="1"/>
  <c r="M7" i="40"/>
  <c r="L7" i="40"/>
  <c r="K7" i="40"/>
  <c r="K5" i="40" s="1"/>
  <c r="J7" i="40"/>
  <c r="J5" i="40" s="1"/>
  <c r="J33" i="40" s="1"/>
  <c r="I7" i="40"/>
  <c r="I5" i="40" s="1"/>
  <c r="H7" i="40"/>
  <c r="G7" i="40"/>
  <c r="G5" i="40" s="1"/>
  <c r="F7" i="40"/>
  <c r="F5" i="40" s="1"/>
  <c r="E7" i="40"/>
  <c r="E5" i="40" s="1"/>
  <c r="D7" i="40"/>
  <c r="AE5" i="40"/>
  <c r="G33" i="40" l="1"/>
  <c r="AQ64" i="40"/>
  <c r="AI33" i="40"/>
  <c r="AM33" i="40"/>
  <c r="AA33" i="40"/>
  <c r="AE33" i="40"/>
  <c r="M5" i="40"/>
  <c r="N33" i="40"/>
  <c r="R33" i="40"/>
  <c r="U33" i="40"/>
  <c r="F64" i="40"/>
  <c r="Z5" i="40"/>
  <c r="AD23" i="40"/>
  <c r="AH23" i="40"/>
  <c r="AL23" i="40"/>
  <c r="AP23" i="40"/>
  <c r="AH33" i="40"/>
  <c r="L5" i="40"/>
  <c r="V33" i="40"/>
  <c r="E37" i="40"/>
  <c r="I37" i="40"/>
  <c r="M37" i="40"/>
  <c r="Q37" i="40"/>
  <c r="Q53" i="40" s="1"/>
  <c r="T37" i="40"/>
  <c r="T53" i="40" s="1"/>
  <c r="X37" i="40"/>
  <c r="AA37" i="40"/>
  <c r="AE37" i="40"/>
  <c r="AI37" i="40"/>
  <c r="AM37" i="40"/>
  <c r="D37" i="40"/>
  <c r="H37" i="40"/>
  <c r="L37" i="40"/>
  <c r="P37" i="40"/>
  <c r="S37" i="40"/>
  <c r="W37" i="40"/>
  <c r="Z37" i="40"/>
  <c r="AD37" i="40"/>
  <c r="AH37" i="40"/>
  <c r="AL37" i="40"/>
  <c r="AP37" i="40"/>
  <c r="J53" i="40"/>
  <c r="R53" i="40"/>
  <c r="D5" i="40"/>
  <c r="O33" i="40"/>
  <c r="X5" i="40"/>
  <c r="AF5" i="40"/>
  <c r="AJ5" i="40"/>
  <c r="AN5" i="40"/>
  <c r="H5" i="40"/>
  <c r="F31" i="40"/>
  <c r="K33" i="40"/>
  <c r="AP33" i="40"/>
  <c r="AD33" i="40"/>
  <c r="AL33" i="40"/>
  <c r="O23" i="40"/>
  <c r="U53" i="40"/>
  <c r="F23" i="40"/>
  <c r="J23" i="40"/>
  <c r="AC23" i="40"/>
  <c r="AK23" i="40"/>
  <c r="E33" i="40"/>
  <c r="G23" i="40"/>
  <c r="F53" i="40"/>
  <c r="N53" i="40"/>
  <c r="P5" i="40"/>
  <c r="S5" i="40"/>
  <c r="W5" i="40"/>
  <c r="Y5" i="40"/>
  <c r="AA23" i="40"/>
  <c r="AE23" i="40"/>
  <c r="AI23" i="40"/>
  <c r="AM23" i="40"/>
  <c r="AB37" i="40"/>
  <c r="AF37" i="40"/>
  <c r="AJ37" i="40"/>
  <c r="AN37" i="40"/>
  <c r="K23" i="40"/>
  <c r="V23" i="40"/>
  <c r="E23" i="40"/>
  <c r="I23" i="40"/>
  <c r="Q23" i="40"/>
  <c r="T23" i="40"/>
  <c r="AB23" i="40"/>
  <c r="I33" i="40"/>
  <c r="Q33" i="40"/>
  <c r="T33" i="40"/>
  <c r="AB33" i="40"/>
  <c r="J64" i="40"/>
  <c r="R64" i="40"/>
  <c r="G37" i="40"/>
  <c r="K37" i="40"/>
  <c r="O37" i="40"/>
  <c r="V37" i="40"/>
  <c r="Y64" i="40"/>
  <c r="AC64" i="40"/>
  <c r="AG64" i="40"/>
  <c r="AK64" i="40"/>
  <c r="AO64" i="40"/>
  <c r="AQ53" i="40"/>
  <c r="N23" i="40"/>
  <c r="R23" i="40"/>
  <c r="U23" i="40"/>
  <c r="AG23" i="40"/>
  <c r="AO23" i="40"/>
  <c r="Y53" i="40"/>
  <c r="AC53" i="40"/>
  <c r="AG53" i="40"/>
  <c r="AK53" i="40"/>
  <c r="AO53" i="40"/>
  <c r="Y23" i="40" l="1"/>
  <c r="Y32" i="40" s="1"/>
  <c r="AJ64" i="40"/>
  <c r="AP64" i="40"/>
  <c r="AI64" i="40"/>
  <c r="V64" i="40"/>
  <c r="AF64" i="40"/>
  <c r="AL64" i="40"/>
  <c r="W64" i="40"/>
  <c r="H64" i="40"/>
  <c r="AE64" i="40"/>
  <c r="Q64" i="40"/>
  <c r="G64" i="40"/>
  <c r="Z64" i="40"/>
  <c r="T64" i="40"/>
  <c r="AI53" i="40"/>
  <c r="AI63" i="40" s="1"/>
  <c r="O64" i="40"/>
  <c r="AP53" i="40"/>
  <c r="AP63" i="40" s="1"/>
  <c r="AB64" i="40"/>
  <c r="AH64" i="40"/>
  <c r="S64" i="40"/>
  <c r="D64" i="40"/>
  <c r="AA64" i="40"/>
  <c r="M64" i="40"/>
  <c r="L64" i="40"/>
  <c r="E64" i="40"/>
  <c r="AQ63" i="40"/>
  <c r="K64" i="40"/>
  <c r="AN64" i="40"/>
  <c r="AQ33" i="40"/>
  <c r="AD64" i="40"/>
  <c r="P64" i="40"/>
  <c r="AM64" i="40"/>
  <c r="X64" i="40"/>
  <c r="I64" i="40"/>
  <c r="N63" i="40"/>
  <c r="U63" i="40"/>
  <c r="AC63" i="40"/>
  <c r="F63" i="40"/>
  <c r="AG63" i="40"/>
  <c r="J63" i="40"/>
  <c r="Y63" i="40"/>
  <c r="T63" i="40"/>
  <c r="AO63" i="40"/>
  <c r="AK63" i="40"/>
  <c r="Q63" i="40"/>
  <c r="R63" i="40"/>
  <c r="S33" i="40"/>
  <c r="J32" i="40"/>
  <c r="AJ33" i="40"/>
  <c r="AL32" i="40"/>
  <c r="I32" i="40"/>
  <c r="P33" i="40"/>
  <c r="H33" i="40"/>
  <c r="L33" i="40"/>
  <c r="AH32" i="40"/>
  <c r="AG32" i="40"/>
  <c r="U32" i="40"/>
  <c r="AB32" i="40"/>
  <c r="E32" i="40"/>
  <c r="AM32" i="40"/>
  <c r="Y33" i="40"/>
  <c r="AK32" i="40"/>
  <c r="X23" i="40"/>
  <c r="AD32" i="40"/>
  <c r="N32" i="40"/>
  <c r="Q32" i="40"/>
  <c r="K32" i="40"/>
  <c r="AE32" i="40"/>
  <c r="G32" i="40"/>
  <c r="F33" i="40"/>
  <c r="D33" i="40"/>
  <c r="M33" i="40"/>
  <c r="AO32" i="40"/>
  <c r="AJ23" i="40"/>
  <c r="AA32" i="40"/>
  <c r="AF23" i="40"/>
  <c r="R32" i="40"/>
  <c r="T32" i="40"/>
  <c r="V32" i="40"/>
  <c r="AI32" i="40"/>
  <c r="W33" i="40"/>
  <c r="AC32" i="40"/>
  <c r="O32" i="40"/>
  <c r="AN23" i="40"/>
  <c r="AP32" i="40"/>
  <c r="Z23" i="40"/>
  <c r="AD53" i="40"/>
  <c r="G53" i="40"/>
  <c r="AA53" i="40"/>
  <c r="M53" i="40"/>
  <c r="Z53" i="40"/>
  <c r="E53" i="40"/>
  <c r="L53" i="40"/>
  <c r="AN33" i="40"/>
  <c r="AF53" i="40"/>
  <c r="F32" i="40"/>
  <c r="AB53" i="40"/>
  <c r="AF33" i="40"/>
  <c r="Z33" i="40"/>
  <c r="AL53" i="40"/>
  <c r="M23" i="40"/>
  <c r="V53" i="40"/>
  <c r="AH53" i="40"/>
  <c r="P23" i="40"/>
  <c r="I53" i="40"/>
  <c r="K53" i="40"/>
  <c r="P53" i="40"/>
  <c r="L23" i="40"/>
  <c r="X33" i="40"/>
  <c r="AM53" i="40"/>
  <c r="X53" i="40"/>
  <c r="O53" i="40"/>
  <c r="AQ23" i="40"/>
  <c r="W23" i="40"/>
  <c r="S23" i="40"/>
  <c r="W53" i="40"/>
  <c r="S53" i="40"/>
  <c r="AE53" i="40"/>
  <c r="D23" i="40"/>
  <c r="H53" i="40"/>
  <c r="D53" i="40"/>
  <c r="H23" i="40"/>
  <c r="AJ53" i="40"/>
  <c r="AN53" i="40"/>
  <c r="AQ32" i="40" l="1"/>
  <c r="D63" i="40"/>
  <c r="AN63" i="40"/>
  <c r="H63" i="40"/>
  <c r="W63" i="40"/>
  <c r="O63" i="40"/>
  <c r="AL63" i="40"/>
  <c r="E63" i="40"/>
  <c r="G63" i="40"/>
  <c r="AB63" i="40"/>
  <c r="AA63" i="40"/>
  <c r="AJ63" i="40"/>
  <c r="X63" i="40"/>
  <c r="P63" i="40"/>
  <c r="AH63" i="40"/>
  <c r="AF63" i="40"/>
  <c r="Z63" i="40"/>
  <c r="AD63" i="40"/>
  <c r="S63" i="40"/>
  <c r="I63" i="40"/>
  <c r="L63" i="40"/>
  <c r="AE63" i="40"/>
  <c r="AM63" i="40"/>
  <c r="K63" i="40"/>
  <c r="V63" i="40"/>
  <c r="M63" i="40"/>
  <c r="D32" i="40"/>
  <c r="S32" i="40"/>
  <c r="M32" i="40"/>
  <c r="Z32" i="40"/>
  <c r="AN32" i="40"/>
  <c r="AF32" i="40"/>
  <c r="L32" i="40"/>
  <c r="P32" i="40"/>
  <c r="H32" i="40"/>
  <c r="W32" i="40"/>
  <c r="AJ32" i="40"/>
  <c r="X32" i="40"/>
  <c r="AM59" i="20" l="1"/>
  <c r="AM57" i="20"/>
  <c r="AM56" i="20"/>
  <c r="AM55" i="20"/>
  <c r="AM53" i="20"/>
  <c r="AM52" i="20"/>
  <c r="AM51" i="20"/>
  <c r="AM50" i="20" s="1"/>
  <c r="AM34" i="20"/>
  <c r="AM10" i="20"/>
  <c r="AM18" i="20"/>
  <c r="AM26" i="20"/>
  <c r="AM42" i="20"/>
  <c r="AM38" i="20"/>
  <c r="AM30" i="20"/>
  <c r="AM22" i="20"/>
  <c r="AM14" i="20"/>
  <c r="AM6" i="20"/>
  <c r="AQ59" i="20"/>
  <c r="AQ57" i="20"/>
  <c r="AQ56" i="20"/>
  <c r="AQ55" i="20"/>
  <c r="AQ53" i="20"/>
  <c r="AQ52" i="20"/>
  <c r="AQ51" i="20"/>
  <c r="AQ42" i="20"/>
  <c r="AQ34" i="20"/>
  <c r="AQ26" i="20"/>
  <c r="AQ18" i="20"/>
  <c r="AQ10" i="20"/>
  <c r="AQ38" i="20"/>
  <c r="AQ30" i="20"/>
  <c r="AQ22" i="20"/>
  <c r="AQ14" i="20"/>
  <c r="AQ6" i="20"/>
  <c r="AQ5" i="20" l="1"/>
  <c r="AQ48" i="20" s="1"/>
  <c r="AQ54" i="20"/>
  <c r="AQ50" i="20"/>
  <c r="AM54" i="20"/>
  <c r="AM58" i="20" s="1"/>
  <c r="AM5" i="20"/>
  <c r="AM48" i="20" s="1"/>
  <c r="AN28" i="31" l="1"/>
  <c r="AO28" i="31"/>
  <c r="AP28" i="31"/>
  <c r="AM14" i="19" l="1"/>
  <c r="AN14" i="19"/>
  <c r="AO14" i="19"/>
  <c r="AP14" i="19"/>
  <c r="AQ14" i="19"/>
  <c r="AL14" i="19"/>
  <c r="AM6" i="19"/>
  <c r="AN6" i="19"/>
  <c r="AO6" i="19"/>
  <c r="AP6" i="19"/>
  <c r="AQ6" i="19"/>
  <c r="AL6" i="19"/>
  <c r="AM5" i="19"/>
  <c r="AM27" i="19"/>
  <c r="AM23" i="19"/>
  <c r="AQ13" i="19" l="1"/>
  <c r="AQ5" i="19"/>
  <c r="AQ21" i="19" s="1"/>
  <c r="AQ28" i="31"/>
  <c r="AM28" i="31" l="1"/>
  <c r="AO4" i="30"/>
  <c r="AP4" i="30"/>
  <c r="AP31" i="21"/>
  <c r="AQ31" i="21"/>
  <c r="AP26" i="21"/>
  <c r="AQ26" i="21"/>
  <c r="AP21" i="21" l="1"/>
  <c r="AQ21" i="21"/>
  <c r="AQ11" i="23"/>
  <c r="AQ32" i="23"/>
  <c r="AQ58" i="2"/>
  <c r="E21" i="30" l="1"/>
  <c r="F21" i="30"/>
  <c r="G21" i="30"/>
  <c r="D21" i="30"/>
  <c r="AQ7" i="5"/>
  <c r="AM7" i="5"/>
  <c r="S24" i="18" l="1"/>
  <c r="R24" i="18"/>
  <c r="Q24" i="18"/>
  <c r="P23" i="18"/>
  <c r="S7" i="18"/>
  <c r="R7" i="18"/>
  <c r="Q7" i="18"/>
  <c r="P7" i="18"/>
  <c r="R13" i="15"/>
  <c r="Q13" i="15"/>
  <c r="P13" i="15"/>
  <c r="AK33" i="18" l="1"/>
  <c r="AK28" i="31" l="1"/>
  <c r="T13" i="25" l="1"/>
  <c r="T9" i="25"/>
  <c r="T8" i="25"/>
  <c r="T7" i="25"/>
  <c r="T18" i="25"/>
  <c r="T17" i="25"/>
  <c r="T15" i="25"/>
  <c r="T6" i="25"/>
  <c r="T21" i="25"/>
  <c r="T5" i="25"/>
  <c r="S10" i="1" l="1"/>
  <c r="P7" i="1"/>
  <c r="Q7" i="1"/>
  <c r="R7" i="1"/>
  <c r="S7" i="1"/>
  <c r="Q25" i="1"/>
  <c r="Q27" i="1" s="1"/>
  <c r="Q29" i="1" s="1"/>
  <c r="R25" i="1"/>
  <c r="R27" i="1" s="1"/>
  <c r="R29" i="1" s="1"/>
  <c r="S25" i="1"/>
  <c r="S27" i="1" s="1"/>
  <c r="S29" i="1" s="1"/>
  <c r="P25" i="1"/>
  <c r="P19" i="1"/>
  <c r="R41" i="36" l="1"/>
  <c r="Q41" i="36"/>
  <c r="P41" i="36"/>
  <c r="R10" i="36" l="1"/>
  <c r="Q10" i="36"/>
  <c r="P10" i="36"/>
  <c r="E54" i="15" l="1"/>
  <c r="F54" i="15"/>
  <c r="G54" i="15"/>
  <c r="H54" i="15"/>
  <c r="I54" i="15"/>
  <c r="J54" i="15"/>
  <c r="K54" i="15"/>
  <c r="L54" i="15"/>
  <c r="M54" i="15"/>
  <c r="N54" i="15"/>
  <c r="O54" i="15"/>
  <c r="P54" i="15"/>
  <c r="Q54" i="15"/>
  <c r="R54" i="15"/>
  <c r="S54" i="15"/>
  <c r="T54" i="15"/>
  <c r="U54" i="15"/>
  <c r="V54" i="15"/>
  <c r="W54" i="15"/>
  <c r="X54" i="15"/>
  <c r="Y54" i="15"/>
  <c r="Z54" i="15"/>
  <c r="AA54" i="15"/>
  <c r="AB54" i="15"/>
  <c r="AC54" i="15"/>
  <c r="AD54" i="15"/>
  <c r="AE54" i="15"/>
  <c r="AG54" i="15"/>
  <c r="AH54" i="15"/>
  <c r="AI54" i="15"/>
  <c r="AJ54" i="15"/>
  <c r="AK54" i="15"/>
  <c r="AL54" i="15"/>
  <c r="AM54" i="15"/>
  <c r="AN54" i="15"/>
  <c r="AO54" i="15"/>
  <c r="AP54" i="15"/>
  <c r="AQ54" i="15"/>
  <c r="D54" i="15"/>
  <c r="AD8" i="18" l="1"/>
  <c r="AC8" i="18"/>
  <c r="AB8" i="18"/>
  <c r="Z8" i="18"/>
  <c r="Y8" i="18"/>
  <c r="X8" i="18"/>
  <c r="V8" i="18"/>
  <c r="T8" i="18"/>
  <c r="AC7" i="18"/>
  <c r="AB29" i="18"/>
  <c r="Z29" i="18"/>
  <c r="X29" i="18"/>
  <c r="T29" i="18"/>
  <c r="P8" i="18"/>
  <c r="H8" i="18"/>
  <c r="D8" i="18"/>
  <c r="E13" i="5" l="1"/>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D13"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Q12" i="5"/>
  <c r="D12" i="5"/>
  <c r="E11" i="5"/>
  <c r="F11" i="5"/>
  <c r="G11" i="5"/>
  <c r="H11" i="5"/>
  <c r="I11" i="5"/>
  <c r="J11" i="5"/>
  <c r="K11" i="5"/>
  <c r="L11" i="5"/>
  <c r="N11" i="5"/>
  <c r="O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D11"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E9" i="5"/>
  <c r="F9"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D9"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D8" i="5"/>
  <c r="AO7" i="5"/>
  <c r="AP7" i="5"/>
  <c r="AN7"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D7" i="5"/>
  <c r="E5" i="5"/>
  <c r="F5" i="5"/>
  <c r="G5" i="5"/>
  <c r="H5" i="5"/>
  <c r="I5" i="5"/>
  <c r="J5" i="5"/>
  <c r="K5" i="5"/>
  <c r="L5" i="5"/>
  <c r="M5" i="5"/>
  <c r="N5" i="5"/>
  <c r="O5" i="5"/>
  <c r="P5" i="5"/>
  <c r="Q5" i="5"/>
  <c r="R5" i="5"/>
  <c r="S5" i="5"/>
  <c r="T5" i="5"/>
  <c r="U5" i="5"/>
  <c r="V5" i="5"/>
  <c r="W5" i="5"/>
  <c r="X5" i="5"/>
  <c r="Y5" i="5"/>
  <c r="Z5" i="5"/>
  <c r="AA5" i="5"/>
  <c r="AB5" i="5"/>
  <c r="AC5" i="5"/>
  <c r="AD5" i="5"/>
  <c r="AE5" i="5"/>
  <c r="AG5" i="5"/>
  <c r="AH5" i="5"/>
  <c r="AI5" i="5"/>
  <c r="D5" i="5"/>
  <c r="AQ39" i="21"/>
  <c r="AN59" i="20" l="1"/>
  <c r="AP59" i="20"/>
  <c r="AE33" i="36" l="1"/>
  <c r="AF33" i="36"/>
  <c r="AG33" i="36"/>
  <c r="AH33" i="36"/>
  <c r="AI33" i="36"/>
  <c r="AK33" i="36"/>
  <c r="AL33" i="36"/>
  <c r="AM33" i="36"/>
  <c r="AA58" i="36" l="1"/>
  <c r="AB55" i="36"/>
  <c r="AM54" i="36"/>
  <c r="AM56" i="36" s="1"/>
  <c r="AL54" i="36"/>
  <c r="AL56" i="36" s="1"/>
  <c r="AK54" i="36"/>
  <c r="AK56" i="36" s="1"/>
  <c r="AJ54" i="36"/>
  <c r="AJ56" i="36" s="1"/>
  <c r="AI54" i="36"/>
  <c r="AI56" i="36" s="1"/>
  <c r="AH54" i="36"/>
  <c r="AG54" i="36"/>
  <c r="AF54" i="36"/>
  <c r="AE54" i="36"/>
  <c r="AD54" i="36"/>
  <c r="AC54" i="36"/>
  <c r="AB54" i="36"/>
  <c r="AB56" i="36" s="1"/>
  <c r="AA54" i="36"/>
  <c r="Z54" i="36"/>
  <c r="Y54" i="36"/>
  <c r="X54" i="36"/>
  <c r="W54" i="36"/>
  <c r="V54" i="36"/>
  <c r="U54" i="36"/>
  <c r="T54" i="36"/>
  <c r="S54" i="36"/>
  <c r="R54" i="36"/>
  <c r="Q54" i="36"/>
  <c r="P54" i="36"/>
  <c r="P56" i="36" s="1"/>
  <c r="O54" i="36"/>
  <c r="N54" i="36"/>
  <c r="M54" i="36"/>
  <c r="L54" i="36"/>
  <c r="K54" i="36"/>
  <c r="J54" i="36"/>
  <c r="I54" i="36"/>
  <c r="H54" i="36"/>
  <c r="G54" i="36"/>
  <c r="F54" i="36"/>
  <c r="E54" i="36"/>
  <c r="D54" i="36"/>
  <c r="AM52" i="36"/>
  <c r="AL52" i="36"/>
  <c r="AK52" i="36"/>
  <c r="AJ52" i="36"/>
  <c r="AI52" i="36"/>
  <c r="AH52" i="36"/>
  <c r="AG52" i="36"/>
  <c r="AF52" i="36"/>
  <c r="AE52" i="36"/>
  <c r="AD52" i="36"/>
  <c r="AC52" i="36"/>
  <c r="AB52" i="36"/>
  <c r="AA52" i="36"/>
  <c r="Z52" i="36"/>
  <c r="Y52" i="36"/>
  <c r="X52" i="36"/>
  <c r="W52" i="36"/>
  <c r="V52" i="36"/>
  <c r="U52" i="36"/>
  <c r="T52" i="36"/>
  <c r="S52" i="36"/>
  <c r="R52" i="36"/>
  <c r="Q52" i="36"/>
  <c r="P52" i="36"/>
  <c r="O52" i="36"/>
  <c r="N52" i="36"/>
  <c r="M52" i="36"/>
  <c r="L52" i="36"/>
  <c r="K52" i="36"/>
  <c r="J52" i="36"/>
  <c r="I52" i="36"/>
  <c r="H52" i="36"/>
  <c r="G52" i="36"/>
  <c r="F52" i="36"/>
  <c r="E52" i="36"/>
  <c r="D52" i="36"/>
  <c r="AM49" i="36"/>
  <c r="AL49" i="36"/>
  <c r="AK49" i="36"/>
  <c r="AJ49" i="36"/>
  <c r="AI49" i="36"/>
  <c r="AH49" i="36"/>
  <c r="AG49" i="36"/>
  <c r="AF49" i="36"/>
  <c r="AE49" i="36"/>
  <c r="AD49" i="36"/>
  <c r="AC49" i="36"/>
  <c r="AB49" i="36"/>
  <c r="AA49" i="36"/>
  <c r="Z49" i="36"/>
  <c r="Y49" i="36"/>
  <c r="X49" i="36"/>
  <c r="W49" i="36"/>
  <c r="V49" i="36"/>
  <c r="U49" i="36"/>
  <c r="T49" i="36"/>
  <c r="S49" i="36"/>
  <c r="R49" i="36"/>
  <c r="Q49" i="36"/>
  <c r="P49" i="36"/>
  <c r="O49" i="36"/>
  <c r="N49" i="36"/>
  <c r="M49" i="36"/>
  <c r="L49" i="36"/>
  <c r="K49" i="36"/>
  <c r="J49" i="36"/>
  <c r="I49" i="36"/>
  <c r="H49" i="36"/>
  <c r="G49" i="36"/>
  <c r="F49" i="36"/>
  <c r="E49" i="36"/>
  <c r="D49" i="36"/>
  <c r="AB46" i="36"/>
  <c r="AA46" i="36"/>
  <c r="Z46" i="36"/>
  <c r="Y46" i="36"/>
  <c r="X46" i="36"/>
  <c r="W46" i="36"/>
  <c r="V46" i="36"/>
  <c r="U46" i="36"/>
  <c r="T46" i="36"/>
  <c r="S46" i="36"/>
  <c r="R46" i="36"/>
  <c r="Q46" i="36"/>
  <c r="P46" i="36"/>
  <c r="O46" i="36"/>
  <c r="K46" i="36"/>
  <c r="G46" i="36"/>
  <c r="AB43" i="36"/>
  <c r="P43" i="36"/>
  <c r="AH42" i="36"/>
  <c r="AH55" i="36" s="1"/>
  <c r="AG42" i="36"/>
  <c r="AG55" i="36" s="1"/>
  <c r="AF42" i="36"/>
  <c r="AF55" i="36" s="1"/>
  <c r="AE42" i="36"/>
  <c r="AE55" i="36" s="1"/>
  <c r="AD42" i="36"/>
  <c r="AD55" i="36" s="1"/>
  <c r="AC42" i="36"/>
  <c r="AC55" i="36" s="1"/>
  <c r="AA42" i="36"/>
  <c r="Z42" i="36"/>
  <c r="Z55" i="36" s="1"/>
  <c r="Y42" i="36"/>
  <c r="Y55" i="36" s="1"/>
  <c r="X42" i="36"/>
  <c r="X55" i="36" s="1"/>
  <c r="W42" i="36"/>
  <c r="W55" i="36" s="1"/>
  <c r="W56" i="36" s="1"/>
  <c r="V42" i="36"/>
  <c r="V55" i="36" s="1"/>
  <c r="U42" i="36"/>
  <c r="U55" i="36" s="1"/>
  <c r="T42" i="36"/>
  <c r="T55" i="36" s="1"/>
  <c r="S42" i="36"/>
  <c r="S43" i="36" s="1"/>
  <c r="R42" i="36"/>
  <c r="R43" i="36" s="1"/>
  <c r="Q42" i="36"/>
  <c r="Q55" i="36" s="1"/>
  <c r="O42" i="36"/>
  <c r="O55" i="36" s="1"/>
  <c r="K42" i="36"/>
  <c r="K43" i="36" s="1"/>
  <c r="G42" i="36"/>
  <c r="G43" i="36" s="1"/>
  <c r="AM41" i="36"/>
  <c r="AL41" i="36"/>
  <c r="AL43" i="36" s="1"/>
  <c r="AK41" i="36"/>
  <c r="AJ41" i="36"/>
  <c r="AI41" i="36"/>
  <c r="AH41" i="36"/>
  <c r="AG41" i="36"/>
  <c r="AF41" i="36"/>
  <c r="AE41" i="36"/>
  <c r="AD41" i="36"/>
  <c r="AC41" i="36"/>
  <c r="AA41" i="36"/>
  <c r="Z41" i="36"/>
  <c r="Y41" i="36"/>
  <c r="X41" i="36"/>
  <c r="W41" i="36"/>
  <c r="V41" i="36"/>
  <c r="U41" i="36"/>
  <c r="T41" i="36"/>
  <c r="O41" i="36"/>
  <c r="AM40" i="36"/>
  <c r="AL40" i="36"/>
  <c r="AK40" i="36"/>
  <c r="AJ40" i="36"/>
  <c r="AI40" i="36"/>
  <c r="AH40" i="36"/>
  <c r="AG40" i="36"/>
  <c r="AF40" i="36"/>
  <c r="AE40" i="36"/>
  <c r="AD40" i="36"/>
  <c r="AC40" i="36"/>
  <c r="AB40" i="36"/>
  <c r="AA40" i="36"/>
  <c r="Z40" i="36"/>
  <c r="X40" i="36"/>
  <c r="W40" i="36"/>
  <c r="T40" i="36"/>
  <c r="S40" i="36"/>
  <c r="R40" i="36"/>
  <c r="Q40" i="36"/>
  <c r="P40" i="36"/>
  <c r="O40" i="36"/>
  <c r="K40" i="36"/>
  <c r="G40" i="36"/>
  <c r="Y38" i="36"/>
  <c r="V38" i="36"/>
  <c r="V40" i="36" s="1"/>
  <c r="U38"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9" i="36"/>
  <c r="AD27" i="36"/>
  <c r="AC27" i="36"/>
  <c r="AB27" i="36"/>
  <c r="AA27" i="36"/>
  <c r="Z27" i="36"/>
  <c r="Y27" i="36"/>
  <c r="X27" i="36"/>
  <c r="W27" i="36"/>
  <c r="V27" i="36"/>
  <c r="U27" i="36"/>
  <c r="T27" i="36"/>
  <c r="S27" i="36"/>
  <c r="R27" i="36"/>
  <c r="Q27" i="36"/>
  <c r="P27" i="36"/>
  <c r="O27" i="36"/>
  <c r="N27" i="36"/>
  <c r="M27" i="36"/>
  <c r="L27" i="36"/>
  <c r="K27" i="36"/>
  <c r="J27" i="36"/>
  <c r="I27" i="36"/>
  <c r="H27" i="36"/>
  <c r="G27" i="36"/>
  <c r="F27" i="36"/>
  <c r="E27" i="36"/>
  <c r="R26" i="36"/>
  <c r="Q26" i="36"/>
  <c r="P26" i="36"/>
  <c r="D26" i="36"/>
  <c r="D55" i="36" s="1"/>
  <c r="AM25" i="36"/>
  <c r="AM32" i="36" s="1"/>
  <c r="AL25" i="36"/>
  <c r="AL32" i="36" s="1"/>
  <c r="AK25" i="36"/>
  <c r="AK32" i="36" s="1"/>
  <c r="AJ25" i="36"/>
  <c r="AJ32" i="36" s="1"/>
  <c r="AI25" i="36"/>
  <c r="AI32" i="36" s="1"/>
  <c r="AH25" i="36"/>
  <c r="AH32" i="36" s="1"/>
  <c r="AG25" i="36"/>
  <c r="AG32" i="36" s="1"/>
  <c r="AF25" i="36"/>
  <c r="AF32" i="36" s="1"/>
  <c r="AE25" i="36"/>
  <c r="AE32" i="36" s="1"/>
  <c r="AD25" i="36"/>
  <c r="AC25" i="36"/>
  <c r="AB25" i="36"/>
  <c r="AA25" i="36"/>
  <c r="Z25" i="36"/>
  <c r="Y25" i="36"/>
  <c r="X25" i="36"/>
  <c r="W25" i="36"/>
  <c r="V25" i="36"/>
  <c r="U25" i="36"/>
  <c r="T25" i="36"/>
  <c r="S25" i="36"/>
  <c r="R25" i="36"/>
  <c r="Q25" i="36"/>
  <c r="P25" i="36"/>
  <c r="O25" i="36"/>
  <c r="N25" i="36"/>
  <c r="M25" i="36"/>
  <c r="L25" i="36"/>
  <c r="K25" i="36"/>
  <c r="J25" i="36"/>
  <c r="I25" i="36"/>
  <c r="H25" i="36"/>
  <c r="G25" i="36"/>
  <c r="F25" i="36"/>
  <c r="E25" i="36"/>
  <c r="D25" i="36"/>
  <c r="AD23" i="36"/>
  <c r="AC23" i="36"/>
  <c r="AB23" i="36"/>
  <c r="AA23" i="36"/>
  <c r="Z23" i="36"/>
  <c r="Y23" i="36"/>
  <c r="X23" i="36"/>
  <c r="W23" i="36"/>
  <c r="V23" i="36"/>
  <c r="U23" i="36"/>
  <c r="T23" i="36"/>
  <c r="S23" i="36"/>
  <c r="R23" i="36"/>
  <c r="Q23" i="36"/>
  <c r="Q33" i="36" s="1"/>
  <c r="P23" i="36"/>
  <c r="O23" i="36"/>
  <c r="AM19" i="36"/>
  <c r="AL19" i="36"/>
  <c r="AK19" i="36"/>
  <c r="AJ19" i="36"/>
  <c r="AJ26" i="36" s="1"/>
  <c r="AJ33" i="36" s="1"/>
  <c r="AI19" i="36"/>
  <c r="AH19" i="36"/>
  <c r="AG19" i="36"/>
  <c r="AF19" i="36"/>
  <c r="AE19" i="36"/>
  <c r="AD19" i="36"/>
  <c r="AD26" i="36" s="1"/>
  <c r="AC19" i="36"/>
  <c r="AC26" i="36" s="1"/>
  <c r="AB19" i="36"/>
  <c r="AB26" i="36" s="1"/>
  <c r="AA19" i="36"/>
  <c r="AA26" i="36" s="1"/>
  <c r="Z19" i="36"/>
  <c r="Z26" i="36" s="1"/>
  <c r="Y19" i="36"/>
  <c r="Y26" i="36" s="1"/>
  <c r="X19" i="36"/>
  <c r="X26" i="36" s="1"/>
  <c r="W19" i="36"/>
  <c r="W26" i="36" s="1"/>
  <c r="V19" i="36"/>
  <c r="V26" i="36" s="1"/>
  <c r="U19" i="36"/>
  <c r="U26" i="36" s="1"/>
  <c r="T19" i="36"/>
  <c r="T26" i="36" s="1"/>
  <c r="S19" i="36"/>
  <c r="S26" i="36" s="1"/>
  <c r="O19" i="36"/>
  <c r="O26" i="36" s="1"/>
  <c r="N19" i="36"/>
  <c r="N26" i="36" s="1"/>
  <c r="M19" i="36"/>
  <c r="L19" i="36"/>
  <c r="L26" i="36" s="1"/>
  <c r="K19" i="36"/>
  <c r="J19" i="36"/>
  <c r="J26" i="36" s="1"/>
  <c r="I19" i="36"/>
  <c r="H19" i="36"/>
  <c r="H26" i="36" s="1"/>
  <c r="G19" i="36"/>
  <c r="G26" i="36" s="1"/>
  <c r="F19" i="36"/>
  <c r="F26" i="36" s="1"/>
  <c r="F55" i="36" s="1"/>
  <c r="E19" i="36"/>
  <c r="N10" i="36"/>
  <c r="N23" i="36" s="1"/>
  <c r="N24" i="36" s="1"/>
  <c r="M10" i="36"/>
  <c r="M23" i="36" s="1"/>
  <c r="L10" i="36"/>
  <c r="L23" i="36" s="1"/>
  <c r="K10" i="36"/>
  <c r="K23" i="36" s="1"/>
  <c r="J10" i="36"/>
  <c r="J23" i="36" s="1"/>
  <c r="I10" i="36"/>
  <c r="I23" i="36" s="1"/>
  <c r="H10" i="36"/>
  <c r="H23" i="36" s="1"/>
  <c r="G10" i="36"/>
  <c r="G23" i="36" s="1"/>
  <c r="F10" i="36"/>
  <c r="F23" i="36" s="1"/>
  <c r="E10" i="36"/>
  <c r="E23" i="36" s="1"/>
  <c r="S33" i="36" l="1"/>
  <c r="W33" i="36"/>
  <c r="AA33" i="36"/>
  <c r="V43" i="36"/>
  <c r="R58" i="36"/>
  <c r="O33" i="36"/>
  <c r="V32" i="36"/>
  <c r="Z24" i="36"/>
  <c r="AD32" i="36"/>
  <c r="L33" i="36"/>
  <c r="O56" i="36"/>
  <c r="T56" i="36"/>
  <c r="X56" i="36"/>
  <c r="R55" i="36"/>
  <c r="T33" i="36"/>
  <c r="X33" i="36"/>
  <c r="AB33" i="36"/>
  <c r="T24" i="36"/>
  <c r="X32" i="36"/>
  <c r="AB24" i="36"/>
  <c r="AE56" i="36"/>
  <c r="Y24" i="36"/>
  <c r="L24" i="36"/>
  <c r="N55" i="36"/>
  <c r="N56" i="36" s="1"/>
  <c r="N33" i="36"/>
  <c r="U33" i="36"/>
  <c r="Y33" i="36"/>
  <c r="AC33" i="36"/>
  <c r="Q28" i="36"/>
  <c r="AA43" i="36"/>
  <c r="P58" i="36"/>
  <c r="U24" i="36"/>
  <c r="AC24" i="36"/>
  <c r="G33" i="36"/>
  <c r="V33" i="36"/>
  <c r="Z33" i="36"/>
  <c r="AD33" i="36"/>
  <c r="P33" i="36"/>
  <c r="AI43" i="36"/>
  <c r="Q58" i="36"/>
  <c r="R32" i="36"/>
  <c r="R33" i="36"/>
  <c r="Q24" i="36"/>
  <c r="T32" i="36"/>
  <c r="X24" i="36"/>
  <c r="AB32" i="36"/>
  <c r="V24" i="36"/>
  <c r="AD24" i="36"/>
  <c r="L32" i="36"/>
  <c r="U43" i="36"/>
  <c r="Y43" i="36"/>
  <c r="AD43" i="36"/>
  <c r="AH43" i="36"/>
  <c r="AC56" i="36"/>
  <c r="D56" i="36"/>
  <c r="AE43" i="36"/>
  <c r="U56" i="36"/>
  <c r="AG56" i="36"/>
  <c r="S28" i="36"/>
  <c r="R24" i="36"/>
  <c r="Y40" i="36"/>
  <c r="L28" i="36"/>
  <c r="O43" i="36"/>
  <c r="Q56" i="36"/>
  <c r="T28" i="36"/>
  <c r="X28" i="36"/>
  <c r="AB28" i="36"/>
  <c r="Z32" i="36"/>
  <c r="AM43" i="36"/>
  <c r="F56" i="36"/>
  <c r="R56" i="36"/>
  <c r="V56" i="36"/>
  <c r="Z56" i="36"/>
  <c r="AD56" i="36"/>
  <c r="AH56" i="36"/>
  <c r="H28" i="36"/>
  <c r="P24" i="36"/>
  <c r="P28" i="36"/>
  <c r="Q43" i="36"/>
  <c r="M32" i="36"/>
  <c r="K32" i="36"/>
  <c r="S32" i="36"/>
  <c r="AA32" i="36"/>
  <c r="G55" i="36"/>
  <c r="G56" i="36" s="1"/>
  <c r="T43" i="36"/>
  <c r="X43" i="36"/>
  <c r="AC43" i="36"/>
  <c r="G24" i="36"/>
  <c r="O24" i="36"/>
  <c r="W24" i="36"/>
  <c r="AA24" i="36"/>
  <c r="I26" i="36"/>
  <c r="AC28" i="36"/>
  <c r="N32" i="36"/>
  <c r="V28" i="36"/>
  <c r="Z28" i="36"/>
  <c r="AD28" i="36"/>
  <c r="J24" i="36"/>
  <c r="E24" i="36"/>
  <c r="I24" i="36"/>
  <c r="M24" i="36"/>
  <c r="E26" i="36"/>
  <c r="M26" i="36"/>
  <c r="M33" i="36" s="1"/>
  <c r="R28" i="36"/>
  <c r="Y28" i="36"/>
  <c r="AF56" i="36"/>
  <c r="L55" i="36"/>
  <c r="L56" i="36" s="1"/>
  <c r="S55" i="36"/>
  <c r="S56" i="36" s="1"/>
  <c r="G32" i="36"/>
  <c r="O32" i="36"/>
  <c r="W32" i="36"/>
  <c r="AA28" i="36"/>
  <c r="W43" i="36"/>
  <c r="AK43" i="36"/>
  <c r="F24" i="36"/>
  <c r="K24" i="36"/>
  <c r="S24" i="36"/>
  <c r="U28" i="36"/>
  <c r="U40" i="36"/>
  <c r="H55" i="36"/>
  <c r="H56" i="36" s="1"/>
  <c r="AA55" i="36"/>
  <c r="AA56" i="36" s="1"/>
  <c r="F28" i="36"/>
  <c r="J28" i="36"/>
  <c r="N28" i="36"/>
  <c r="Q32" i="36"/>
  <c r="U32" i="36"/>
  <c r="Y32" i="36"/>
  <c r="AC32" i="36"/>
  <c r="H24" i="36"/>
  <c r="K26" i="36"/>
  <c r="K33" i="36" s="1"/>
  <c r="G28" i="36"/>
  <c r="O28" i="36"/>
  <c r="W28" i="36"/>
  <c r="Z43" i="36"/>
  <c r="AG43" i="36"/>
  <c r="J55" i="36"/>
  <c r="J56" i="36" s="1"/>
  <c r="AF43" i="36"/>
  <c r="AJ43" i="36"/>
  <c r="I55" i="36" l="1"/>
  <c r="I56" i="36" s="1"/>
  <c r="I28" i="36"/>
  <c r="K55" i="36"/>
  <c r="K56" i="36" s="1"/>
  <c r="K28" i="36"/>
  <c r="M55" i="36"/>
  <c r="M56" i="36" s="1"/>
  <c r="M28" i="36"/>
  <c r="E55" i="36"/>
  <c r="E56" i="36" s="1"/>
  <c r="E28" i="36"/>
  <c r="O17" i="30" l="1"/>
  <c r="P17" i="30" l="1"/>
  <c r="Q17" i="30"/>
  <c r="R17" i="30"/>
  <c r="S17" i="30"/>
  <c r="U17" i="30"/>
  <c r="V17" i="30"/>
  <c r="W17" i="30"/>
  <c r="AE17" i="30" l="1"/>
  <c r="AA17" i="30" l="1"/>
  <c r="AB17" i="30"/>
  <c r="AC17" i="30"/>
  <c r="X17" i="30" l="1"/>
  <c r="Y17" i="30"/>
  <c r="Z17" i="30"/>
  <c r="AD17" i="30"/>
  <c r="O14" i="30" l="1"/>
  <c r="P14" i="30"/>
  <c r="Q14" i="30"/>
  <c r="R14" i="30"/>
  <c r="S14" i="30"/>
  <c r="T14" i="30"/>
  <c r="U14" i="30"/>
  <c r="V14" i="30"/>
  <c r="W14" i="30"/>
  <c r="X14" i="30"/>
  <c r="Y14" i="30"/>
  <c r="Z14" i="30"/>
  <c r="AA14" i="30"/>
  <c r="AB14" i="30"/>
  <c r="AC14" i="30"/>
  <c r="AD14" i="30"/>
  <c r="AE14" i="30"/>
  <c r="AF14" i="30"/>
  <c r="AG14" i="30"/>
  <c r="AH14" i="30"/>
  <c r="AI14" i="30"/>
  <c r="N17" i="30"/>
  <c r="N14" i="30" s="1"/>
  <c r="M17" i="30"/>
  <c r="M14" i="30" s="1"/>
  <c r="L17" i="30"/>
  <c r="L14" i="30" s="1"/>
  <c r="K17" i="30"/>
  <c r="K14" i="30" s="1"/>
  <c r="J17" i="30"/>
  <c r="J14" i="30" s="1"/>
  <c r="I17" i="30"/>
  <c r="I14" i="30" s="1"/>
  <c r="H14" i="30"/>
  <c r="AF37" i="15" l="1"/>
  <c r="AF54" i="15" s="1"/>
  <c r="AF5" i="5" s="1"/>
  <c r="AJ17" i="15"/>
  <c r="AJ5" i="15"/>
  <c r="AF5" i="15"/>
  <c r="AD5" i="15"/>
  <c r="Z5" i="15"/>
  <c r="V5" i="15"/>
  <c r="M22" i="22" l="1"/>
  <c r="L22" i="22"/>
  <c r="O14" i="22"/>
  <c r="O8" i="22"/>
  <c r="O6" i="22" s="1"/>
  <c r="O36" i="5" s="1"/>
  <c r="O26" i="22"/>
  <c r="O24" i="22"/>
  <c r="D6" i="22"/>
  <c r="D36" i="5" s="1"/>
  <c r="E6" i="22"/>
  <c r="E36" i="5" s="1"/>
  <c r="F6" i="22"/>
  <c r="F36" i="5" s="1"/>
  <c r="G6" i="22"/>
  <c r="G36" i="5" s="1"/>
  <c r="H6" i="22"/>
  <c r="H36" i="5" s="1"/>
  <c r="I6" i="22"/>
  <c r="I36" i="5" s="1"/>
  <c r="J6" i="22"/>
  <c r="J36" i="5" s="1"/>
  <c r="K6" i="22"/>
  <c r="K36" i="5" s="1"/>
  <c r="L6" i="22"/>
  <c r="L36" i="5" s="1"/>
  <c r="M6" i="22"/>
  <c r="M36" i="5" s="1"/>
  <c r="N6" i="22"/>
  <c r="N36" i="5" s="1"/>
  <c r="S6" i="22"/>
  <c r="S36" i="5" s="1"/>
  <c r="T6" i="22"/>
  <c r="T36" i="5" s="1"/>
  <c r="U6" i="22"/>
  <c r="U36" i="5" s="1"/>
  <c r="V6" i="22"/>
  <c r="V36" i="5" s="1"/>
  <c r="W6" i="22"/>
  <c r="W36" i="5" s="1"/>
  <c r="X6" i="22"/>
  <c r="X36" i="5" s="1"/>
  <c r="Y6" i="22"/>
  <c r="Y36" i="5" s="1"/>
  <c r="Z6" i="22"/>
  <c r="Z36" i="5" s="1"/>
  <c r="AA6" i="22"/>
  <c r="AA36" i="5" s="1"/>
  <c r="AB6" i="22"/>
  <c r="AB36" i="5" s="1"/>
  <c r="AC6" i="22"/>
  <c r="AC36" i="5" s="1"/>
  <c r="AD6" i="22"/>
  <c r="AD36" i="5" s="1"/>
  <c r="AE6" i="22"/>
  <c r="AE36" i="5" s="1"/>
  <c r="AF6" i="22"/>
  <c r="AF36" i="5" s="1"/>
  <c r="AG6" i="22"/>
  <c r="AG36" i="5" s="1"/>
  <c r="AH6" i="22"/>
  <c r="AH36" i="5" s="1"/>
  <c r="AI6" i="22"/>
  <c r="AI36" i="5" s="1"/>
  <c r="AJ6" i="22"/>
  <c r="AJ36" i="5" s="1"/>
  <c r="AK6" i="22"/>
  <c r="AK36" i="5" s="1"/>
  <c r="AL6" i="22"/>
  <c r="AL36" i="5" s="1"/>
  <c r="AM6" i="22"/>
  <c r="AM36" i="5" s="1"/>
  <c r="AQ23" i="19"/>
  <c r="AP35" i="15"/>
  <c r="AO35" i="15"/>
  <c r="AP33" i="15"/>
  <c r="AO33" i="15"/>
  <c r="AN33" i="15"/>
  <c r="AP29" i="15"/>
  <c r="AO29" i="15"/>
  <c r="AP27" i="15"/>
  <c r="AO27" i="15"/>
  <c r="AN27" i="15"/>
  <c r="AP25" i="15"/>
  <c r="AO25" i="15"/>
  <c r="AP23" i="15"/>
  <c r="AO23" i="15"/>
  <c r="AN23" i="15"/>
  <c r="R25" i="22" l="1"/>
  <c r="R23" i="22"/>
  <c r="Q23" i="22"/>
  <c r="Q25" i="22"/>
  <c r="P23" i="22"/>
  <c r="P25" i="22"/>
  <c r="R7" i="22"/>
  <c r="R9" i="22"/>
  <c r="Q7" i="22"/>
  <c r="Q9" i="22"/>
  <c r="P7" i="22"/>
  <c r="P9" i="22"/>
  <c r="Q26" i="22"/>
  <c r="Q24" i="22"/>
  <c r="R26" i="22"/>
  <c r="R24" i="22"/>
  <c r="R8" i="22"/>
  <c r="R11" i="22"/>
  <c r="R14" i="22"/>
  <c r="Q8" i="22"/>
  <c r="Q14" i="22"/>
  <c r="P8" i="22"/>
  <c r="P14" i="22"/>
  <c r="P26" i="22"/>
  <c r="P24" i="22"/>
  <c r="Q6" i="22" l="1"/>
  <c r="Q36" i="5" s="1"/>
  <c r="P6" i="22"/>
  <c r="R6" i="22"/>
  <c r="R36" i="5" s="1"/>
  <c r="P22" i="22"/>
  <c r="R22" i="22"/>
  <c r="Q22" i="22"/>
  <c r="P36" i="5" l="1"/>
  <c r="AA13" i="31"/>
  <c r="AQ24" i="23" l="1"/>
  <c r="AN42" i="20"/>
  <c r="AO42" i="20"/>
  <c r="AP42" i="20"/>
  <c r="AN38" i="20"/>
  <c r="AO38" i="20"/>
  <c r="AP38" i="20"/>
  <c r="AN34" i="20"/>
  <c r="AO34" i="20"/>
  <c r="AN30" i="20"/>
  <c r="AO30" i="20"/>
  <c r="AP30" i="20"/>
  <c r="AN26" i="20"/>
  <c r="AO26" i="20"/>
  <c r="AP26" i="20"/>
  <c r="AN22" i="20"/>
  <c r="AO22" i="20"/>
  <c r="AP22" i="20"/>
  <c r="AN18" i="20"/>
  <c r="AO18" i="20"/>
  <c r="AP18" i="20"/>
  <c r="AN10" i="20"/>
  <c r="AO10" i="20"/>
  <c r="AP10" i="20"/>
  <c r="AN14" i="20"/>
  <c r="AO14" i="20"/>
  <c r="AP14" i="20"/>
  <c r="AN6" i="20"/>
  <c r="AO6" i="20"/>
  <c r="AP6" i="20"/>
  <c r="AN57" i="20"/>
  <c r="AO57" i="20"/>
  <c r="AP57" i="20"/>
  <c r="AN56" i="20"/>
  <c r="AO56" i="20"/>
  <c r="AP56" i="20"/>
  <c r="AN55" i="20"/>
  <c r="AO55" i="20"/>
  <c r="AP55" i="20"/>
  <c r="AN53" i="20"/>
  <c r="AO53" i="20"/>
  <c r="AP53" i="20"/>
  <c r="AN52" i="20"/>
  <c r="AO52" i="20"/>
  <c r="AP52" i="20"/>
  <c r="AN51" i="20"/>
  <c r="AO51" i="20"/>
  <c r="AP51" i="20"/>
  <c r="AP50" i="20" l="1"/>
  <c r="AP5" i="20"/>
  <c r="AP48" i="20" s="1"/>
  <c r="AO5" i="20"/>
  <c r="AO48" i="20" s="1"/>
  <c r="AN5" i="20"/>
  <c r="AN48" i="20" s="1"/>
  <c r="AN54" i="20"/>
  <c r="AO54" i="20"/>
  <c r="AO50" i="20"/>
  <c r="AP54" i="20"/>
  <c r="AN50" i="20"/>
  <c r="AN58" i="20" l="1"/>
  <c r="AO58" i="20"/>
  <c r="AP58" i="20"/>
  <c r="D30" i="22" l="1"/>
  <c r="E31" i="22"/>
  <c r="D31" i="22"/>
  <c r="F31" i="22"/>
  <c r="E58" i="2" l="1"/>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D58" i="2"/>
  <c r="D32" i="22" l="1"/>
  <c r="D10" i="5" s="1"/>
  <c r="AP32" i="23" l="1"/>
  <c r="AO32" i="23"/>
  <c r="AN32" i="23"/>
  <c r="T28" i="23" l="1"/>
  <c r="Q28" i="23"/>
  <c r="P28" i="23"/>
  <c r="P22" i="23"/>
  <c r="P11" i="5" s="1"/>
  <c r="R30" i="23"/>
  <c r="R29" i="23"/>
  <c r="R28" i="23"/>
  <c r="R32" i="23"/>
  <c r="I32" i="23"/>
  <c r="U28" i="23"/>
  <c r="U32" i="23"/>
  <c r="D32" i="23"/>
  <c r="E32" i="23"/>
  <c r="F32" i="23"/>
  <c r="H32" i="23"/>
  <c r="K28" i="23"/>
  <c r="O28" i="23"/>
  <c r="G32" i="23"/>
  <c r="J32" i="23"/>
  <c r="M22" i="23"/>
  <c r="M11" i="5" s="1"/>
  <c r="K29" i="23"/>
  <c r="D11" i="23"/>
  <c r="E11" i="23"/>
  <c r="F11" i="23"/>
  <c r="G11" i="23"/>
  <c r="H11" i="23"/>
  <c r="I11" i="23"/>
  <c r="J11" i="23"/>
  <c r="K11" i="23"/>
  <c r="L11" i="23"/>
  <c r="M11" i="23"/>
  <c r="N11" i="23"/>
  <c r="O11" i="23"/>
  <c r="P11" i="23"/>
  <c r="Q11" i="23"/>
  <c r="R11" i="23"/>
  <c r="D7" i="23"/>
  <c r="E7" i="23"/>
  <c r="F7" i="23"/>
  <c r="G7" i="23"/>
  <c r="H7" i="23"/>
  <c r="I7" i="23"/>
  <c r="J7" i="23"/>
  <c r="K7" i="23"/>
  <c r="L7" i="23"/>
  <c r="M7" i="23"/>
  <c r="N7" i="23"/>
  <c r="O7" i="23"/>
  <c r="P7" i="23"/>
  <c r="Q7" i="23"/>
  <c r="R7" i="23"/>
  <c r="D17" i="23"/>
  <c r="E17" i="23"/>
  <c r="F17" i="23"/>
  <c r="G17" i="23"/>
  <c r="H17" i="23"/>
  <c r="I17" i="23"/>
  <c r="J17" i="23"/>
  <c r="K17" i="23"/>
  <c r="L17" i="23"/>
  <c r="M17" i="23"/>
  <c r="N17" i="23"/>
  <c r="O17" i="23"/>
  <c r="P17" i="23"/>
  <c r="Q17" i="23"/>
  <c r="R17" i="23"/>
  <c r="V28" i="23"/>
  <c r="Z27" i="23"/>
  <c r="T17" i="23" l="1"/>
  <c r="U17" i="23"/>
  <c r="V17" i="23"/>
  <c r="W17" i="23"/>
  <c r="X17" i="23"/>
  <c r="Y17" i="23"/>
  <c r="Z17" i="23"/>
  <c r="AA17" i="23"/>
  <c r="AB17" i="23"/>
  <c r="AC17" i="23"/>
  <c r="AD17" i="23"/>
  <c r="AE17" i="23"/>
  <c r="AF17" i="23"/>
  <c r="AG17" i="23"/>
  <c r="AH17" i="23"/>
  <c r="AI17" i="23"/>
  <c r="AJ17" i="23"/>
  <c r="AK17" i="23"/>
  <c r="AL17" i="23"/>
  <c r="AM17" i="23"/>
  <c r="T11" i="23"/>
  <c r="U11" i="23"/>
  <c r="V11" i="23"/>
  <c r="W11" i="23"/>
  <c r="X11" i="23"/>
  <c r="Y11" i="23"/>
  <c r="Z11" i="23"/>
  <c r="AA11" i="23"/>
  <c r="AB11" i="23"/>
  <c r="AC11" i="23"/>
  <c r="AD11" i="23"/>
  <c r="AE11" i="23"/>
  <c r="AF11" i="23"/>
  <c r="AG11" i="23"/>
  <c r="AH11" i="23"/>
  <c r="AI11" i="23"/>
  <c r="AJ11" i="23"/>
  <c r="AK11" i="23"/>
  <c r="AL11" i="23"/>
  <c r="AM11" i="23"/>
  <c r="X7" i="23"/>
  <c r="Y7" i="23"/>
  <c r="Z7" i="23"/>
  <c r="AA7" i="23"/>
  <c r="AB7" i="23"/>
  <c r="AC7" i="23"/>
  <c r="AD7" i="23"/>
  <c r="AE7" i="23"/>
  <c r="AF7" i="23"/>
  <c r="AG7" i="23"/>
  <c r="AH7" i="23"/>
  <c r="AI7" i="23"/>
  <c r="AJ7" i="23"/>
  <c r="AK7" i="23"/>
  <c r="AL7" i="23"/>
  <c r="AM7" i="23"/>
  <c r="T7" i="23"/>
  <c r="U7" i="23"/>
  <c r="V7" i="23"/>
  <c r="W7" i="23"/>
  <c r="S28" i="23"/>
  <c r="S17" i="23"/>
  <c r="S11" i="23"/>
  <c r="S7" i="23"/>
  <c r="AL9" i="30" l="1"/>
  <c r="AP9" i="30"/>
  <c r="AL4" i="30"/>
  <c r="AJ4" i="30"/>
  <c r="AB7" i="30" l="1"/>
  <c r="AF7" i="30"/>
  <c r="T7" i="30" l="1"/>
  <c r="X7" i="30"/>
  <c r="L7" i="30"/>
  <c r="P7" i="30"/>
  <c r="N23" i="13" l="1"/>
  <c r="AP21" i="25" l="1"/>
  <c r="D14" i="13" l="1"/>
  <c r="F14" i="13"/>
  <c r="G14" i="13"/>
  <c r="H14" i="13"/>
  <c r="J14" i="13"/>
  <c r="L14" i="13"/>
  <c r="N14" i="13"/>
  <c r="P14" i="13"/>
  <c r="Q14" i="13"/>
  <c r="R14" i="13"/>
  <c r="T14" i="13"/>
  <c r="U14" i="13"/>
  <c r="V14" i="13"/>
  <c r="W14" i="13"/>
  <c r="X14" i="13"/>
  <c r="Y14" i="13"/>
  <c r="Z14" i="13"/>
  <c r="AA14" i="13"/>
  <c r="AB14" i="13"/>
  <c r="AC14" i="13"/>
  <c r="AD14" i="13"/>
  <c r="AE14" i="13"/>
  <c r="AF14" i="13"/>
  <c r="AH14" i="13" l="1"/>
  <c r="AI14" i="13"/>
  <c r="AJ14" i="13"/>
  <c r="AK14" i="13"/>
  <c r="AL14" i="13"/>
  <c r="AN14" i="13"/>
  <c r="AO14" i="13"/>
  <c r="AP14" i="13"/>
  <c r="AG14" i="13"/>
  <c r="AL13" i="19" l="1"/>
  <c r="AN13" i="19" l="1"/>
  <c r="AO13" i="19"/>
  <c r="AP13" i="19"/>
  <c r="AN5" i="19"/>
  <c r="AN21" i="19" s="1"/>
  <c r="AO5" i="19"/>
  <c r="AP5" i="19"/>
  <c r="AL5" i="19"/>
  <c r="AN39" i="21"/>
  <c r="AO39" i="21"/>
  <c r="AP39" i="21"/>
  <c r="AM39" i="21"/>
  <c r="AO22" i="21"/>
  <c r="AM22" i="21"/>
  <c r="AM31" i="21"/>
  <c r="AO31" i="21"/>
  <c r="AO26" i="21"/>
  <c r="AM26" i="21"/>
  <c r="AN31" i="21"/>
  <c r="AN26" i="21"/>
  <c r="AN22" i="21"/>
  <c r="AN47" i="21"/>
  <c r="AO47" i="21"/>
  <c r="AP47" i="21"/>
  <c r="AP27" i="19"/>
  <c r="AO27" i="19"/>
  <c r="AP21" i="19" l="1"/>
  <c r="AO21" i="19"/>
  <c r="AL21" i="19"/>
  <c r="AO21" i="21"/>
  <c r="AM21" i="21"/>
  <c r="AN21" i="21"/>
  <c r="AO37" i="21" l="1"/>
  <c r="AN37" i="21"/>
  <c r="AM47" i="21"/>
  <c r="D23" i="13" l="1"/>
  <c r="E23" i="13"/>
  <c r="F23" i="13"/>
  <c r="G23" i="13"/>
  <c r="H23" i="13"/>
  <c r="I23" i="13"/>
  <c r="J23" i="13"/>
  <c r="K23" i="13"/>
  <c r="L23" i="13"/>
  <c r="M23" i="13"/>
  <c r="O23" i="13"/>
  <c r="P23" i="13"/>
  <c r="Q23" i="13"/>
  <c r="R23" i="13"/>
  <c r="S23" i="13"/>
  <c r="T23" i="13"/>
  <c r="U23" i="13"/>
  <c r="V23" i="13"/>
  <c r="W23" i="13"/>
  <c r="X23" i="13"/>
  <c r="Y23" i="13"/>
  <c r="Z23" i="13"/>
  <c r="AA23" i="13"/>
  <c r="AB23" i="13"/>
  <c r="AC23" i="13"/>
  <c r="AD23" i="13"/>
  <c r="AE23" i="13"/>
  <c r="AF23" i="13"/>
  <c r="AG23" i="13"/>
  <c r="AH23" i="13"/>
  <c r="AI23" i="13"/>
  <c r="AJ23" i="13"/>
  <c r="AK23" i="13"/>
  <c r="AL23" i="13"/>
  <c r="AN23" i="13"/>
  <c r="AO23" i="13"/>
  <c r="AP23" i="13"/>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N17" i="13"/>
  <c r="AO17" i="13"/>
  <c r="AP17" i="13"/>
  <c r="D17" i="13"/>
  <c r="AO67" i="2" l="1"/>
  <c r="AP67" i="2"/>
  <c r="AO38" i="2" l="1"/>
  <c r="AO12" i="5" s="1"/>
  <c r="AP38" i="2"/>
  <c r="AP12" i="5" s="1"/>
  <c r="AN38" i="2"/>
  <c r="AN12" i="5" s="1"/>
  <c r="AK19" i="1" l="1"/>
  <c r="AK10" i="1"/>
  <c r="AK7" i="1"/>
  <c r="AK25" i="1" l="1"/>
</calcChain>
</file>

<file path=xl/sharedStrings.xml><?xml version="1.0" encoding="utf-8"?>
<sst xmlns="http://schemas.openxmlformats.org/spreadsheetml/2006/main" count="2999" uniqueCount="880">
  <si>
    <t>Skonsolidowany rachunek zysków i strat</t>
  </si>
  <si>
    <t>Przychody z tytułu odsetek</t>
  </si>
  <si>
    <t>Koszty z tytułu odsetek</t>
  </si>
  <si>
    <t>Wynik z tytułu odsetek</t>
  </si>
  <si>
    <t>Przychody z tytułu prowizji i opłat</t>
  </si>
  <si>
    <t>Koszty z tytułu prowizji i opłat</t>
  </si>
  <si>
    <t>Wynik z tytułu prowizji i opłat</t>
  </si>
  <si>
    <t>Wynik pozostały</t>
  </si>
  <si>
    <t>Przychody z tytułu dywidend</t>
  </si>
  <si>
    <t>Wynik na instrumentach finansowych wycenianych do wartości godziwej</t>
  </si>
  <si>
    <t>Wynik na inwestycyjnych (lokacyjnych) papierach wartościowych</t>
  </si>
  <si>
    <t>Wynik z pozycji wymiany</t>
  </si>
  <si>
    <t>Pozostałe przychody operacyjne</t>
  </si>
  <si>
    <t>Pozostałe koszty operacyjne</t>
  </si>
  <si>
    <t>Pozostałe przychody i koszty operacyjne netto</t>
  </si>
  <si>
    <t>Wynik z tytułu odpisów aktualizujacych z tytułu utraty wartości</t>
  </si>
  <si>
    <t>Ogólne koszty administracyjne</t>
  </si>
  <si>
    <t>Wynik z działalności operacyjnej</t>
  </si>
  <si>
    <t>Udział w zyskach (stratach) jednostek współzależnych i stowarzyszonych</t>
  </si>
  <si>
    <t>Zysk (strata) brutto</t>
  </si>
  <si>
    <t>Podatek dochodowy</t>
  </si>
  <si>
    <t>Zysk (strata) netto roku bieżącego (z uwzględnieniem udziałowców mniejszościowych)</t>
  </si>
  <si>
    <t>Zyski (straty) udziałowców mniejszościowych</t>
  </si>
  <si>
    <t>Zysk netto przypadający na akcjonariuszy jednostki dominującej</t>
  </si>
  <si>
    <t>Q1'09</t>
  </si>
  <si>
    <t>Q2'09</t>
  </si>
  <si>
    <t>Q3'09</t>
  </si>
  <si>
    <t>Q4'09</t>
  </si>
  <si>
    <t>Q1'10</t>
  </si>
  <si>
    <t>Q2'10</t>
  </si>
  <si>
    <t>Q3'10</t>
  </si>
  <si>
    <t>Q4'10</t>
  </si>
  <si>
    <t>Q1'11</t>
  </si>
  <si>
    <t>Q2'11</t>
  </si>
  <si>
    <t>Q3'11</t>
  </si>
  <si>
    <t>Q4'11</t>
  </si>
  <si>
    <t>Q1'12</t>
  </si>
  <si>
    <t>Q2'12</t>
  </si>
  <si>
    <t>Q3'12</t>
  </si>
  <si>
    <t>Q4'12</t>
  </si>
  <si>
    <t>Q1'13</t>
  </si>
  <si>
    <t>Q2'13</t>
  </si>
  <si>
    <t>Q3'13</t>
  </si>
  <si>
    <t>Q4'13</t>
  </si>
  <si>
    <t>Skonsolidowane sprawozdanie z sytuacji finansowej</t>
  </si>
  <si>
    <t>Kasa, środki w Banku Centralnym</t>
  </si>
  <si>
    <t>Należności od banków</t>
  </si>
  <si>
    <t>Pochodne instrumenty finansowe</t>
  </si>
  <si>
    <t>Instrumenty finansowe wyceniane do wartości godziwej przez rachunek zysków i strat</t>
  </si>
  <si>
    <t>Kredyty i pożyczki udzielone klientom</t>
  </si>
  <si>
    <t>Inwestycyjne papiery wartościowe dostępne do sprzedaży</t>
  </si>
  <si>
    <t>Papiery wartościowe utrzymywane do terminu zapadalności</t>
  </si>
  <si>
    <t>Inwestycje w jednostki stowarzyszone i współzależne</t>
  </si>
  <si>
    <t>Aktywa trwałe przeznaczone do sprzedaży</t>
  </si>
  <si>
    <t>Zapasy</t>
  </si>
  <si>
    <t>Wartości niematerialne</t>
  </si>
  <si>
    <t>Rzeczowe aktywa trwałe</t>
  </si>
  <si>
    <t>Należności z tytułu bieżącego podatku dochodowego</t>
  </si>
  <si>
    <t>Aktywo z tytułu odroczonego podatku dochodowego</t>
  </si>
  <si>
    <t>Inne aktywa</t>
  </si>
  <si>
    <t>SUMA AKTYWÓW</t>
  </si>
  <si>
    <t>Zobowiązania wobec Banku Centralnego</t>
  </si>
  <si>
    <t>Zobowiązania wobec innych banków</t>
  </si>
  <si>
    <t>Pochodne instrumenty finansowe</t>
  </si>
  <si>
    <t>Zobowiązania z tytułu emisji papierów wartościowych</t>
  </si>
  <si>
    <t>Zobowiązania podporządkowane</t>
  </si>
  <si>
    <t>Pozostałe zobowiązania</t>
  </si>
  <si>
    <t>Zobowiązania z tytułu bieżącego podatku dochodowego</t>
  </si>
  <si>
    <t>Rezerwa z tytułu odroczonego podatku dochodowego</t>
  </si>
  <si>
    <t>Rezerwy</t>
  </si>
  <si>
    <t>SUMA ZOBOWIĄZAŃ</t>
  </si>
  <si>
    <t>Kapitał zakładowy</t>
  </si>
  <si>
    <t>Pozostałe kapitały</t>
  </si>
  <si>
    <t>Różnice kursowe z przeliczenia jednostek zagranicznych</t>
  </si>
  <si>
    <t>Niepodzielony wynik finansowy</t>
  </si>
  <si>
    <t>Wynik roku bieżącego</t>
  </si>
  <si>
    <t>Kapitał przypisany akcjonariuszom jednostki dominującej</t>
  </si>
  <si>
    <t>Udziały niekontrolujące</t>
  </si>
  <si>
    <t>KAPITAŁ WŁASNY OGÓŁEM</t>
  </si>
  <si>
    <t>SUMA ZOBOWIĄZAŃ I KAPITAŁU WŁASNEGO</t>
  </si>
  <si>
    <t>Podstawowe wskaźniki finansowe</t>
  </si>
  <si>
    <t>Kredyty netto /zobowiązania wobec klientów</t>
  </si>
  <si>
    <t>Współczynnik wypłacalności</t>
  </si>
  <si>
    <t>Core Tier 1</t>
  </si>
  <si>
    <t>1) Pozycje rachunku zysków i strat przyjęte do obliczenia wskaźników ujmują okres 4 ostatnich kwartałów (ujęcie roczne), natomiast pozycje sprawozdania z sytuacji finansowej ujmują średnią z 5 ostatnich wartości kwartalnych odpowiednich pozycji aktywów i pasywów.</t>
  </si>
  <si>
    <t>2) Stabilne źródła finansowania obejmują zobowiązania wobec klientów oraz finansowanie zewnętrzne w postaci : emisji papierów wartościowych, zobowiązań podporządkowanych i kredytów otrzymanych od instytucji finansowych</t>
  </si>
  <si>
    <t>3) Obliczony poprzez podzielenie wartości bilansowej brutto kredytów i pożyczek z rozpoznaną utratą wartości przez wartość bilansową kredytów i pożyczek udzielonych klientom brutto.</t>
  </si>
  <si>
    <t>4) Obliczony poprzez podzielenie stanu odpisów aktualizujących z tytułu utraty wartości kredytów i pożyczek udzielonych klientom przez wartość bilansową brutto kredytów i pożyczek z rozpoznaną utratą wartości .</t>
  </si>
  <si>
    <t>5) Obliczony poprzez podzielenie wyniku z tytułu odpisów aktualizujących z tytułu utraty wartości kredytów i pożyczek udzielonych klientom za ostatnie 4 kwartały (ujęcie roczne) przez średnią z ostatnich 5 wartości kwartalnych kredytów brutto</t>
  </si>
  <si>
    <t>Liczba rachunków bieżących (tys.)</t>
  </si>
  <si>
    <t>Number of current accounts ('000)</t>
  </si>
  <si>
    <t>Liczba kart bankowych (tys.)</t>
  </si>
  <si>
    <t>Number of banking cards ('000)</t>
  </si>
  <si>
    <t>Liczba oddziałów:</t>
  </si>
  <si>
    <t>Number of branches:</t>
  </si>
  <si>
    <t>Liczba agencji</t>
  </si>
  <si>
    <t>Number of agencies</t>
  </si>
  <si>
    <t>Liczba bankomatów</t>
  </si>
  <si>
    <t>Number of ATMs</t>
  </si>
  <si>
    <t>Zatrudnienie Bank (etaty)</t>
  </si>
  <si>
    <t>Employment Bank (FTEs)</t>
  </si>
  <si>
    <t>Zatrudnienie Grupa (etaty)</t>
  </si>
  <si>
    <t>Employment Group (FTEs)</t>
  </si>
  <si>
    <t>Podstawowe dane finansowe</t>
  </si>
  <si>
    <t>Zobowiązania wobec klientów</t>
  </si>
  <si>
    <t>Aktywa</t>
  </si>
  <si>
    <t>Kapitał własny ogółem</t>
  </si>
  <si>
    <t>Zobowiązania związane z aktywami zaklasyfikowanymi jako przeznaczone do sprzedaży</t>
  </si>
  <si>
    <t>przekształcone</t>
  </si>
  <si>
    <t>restated</t>
  </si>
  <si>
    <t>Q1'14</t>
  </si>
  <si>
    <t>Q2'14</t>
  </si>
  <si>
    <t>Zobowiązania z tytułu działalności ubezpieczeniowej</t>
  </si>
  <si>
    <t>Q3'14</t>
  </si>
  <si>
    <t>Q1'15</t>
  </si>
  <si>
    <t>Kurs akcji  na początek okresu</t>
  </si>
  <si>
    <t>Q2'15</t>
  </si>
  <si>
    <t>Q3'15</t>
  </si>
  <si>
    <t>Kredyty i pożyczki udzielone klientom netto</t>
  </si>
  <si>
    <t>Q4'15</t>
  </si>
  <si>
    <t>Q4'14</t>
  </si>
  <si>
    <t>Q1'16</t>
  </si>
  <si>
    <t>Podatek od niektórych instytucji finansowych</t>
  </si>
  <si>
    <t>Q2'16</t>
  </si>
  <si>
    <t>Q3'16</t>
  </si>
  <si>
    <t>Q4'16</t>
  </si>
  <si>
    <t>Dywidenda (mln. PLN)</t>
  </si>
  <si>
    <t>Q1'17</t>
  </si>
  <si>
    <t>Q2'17</t>
  </si>
  <si>
    <t>Q3'17</t>
  </si>
  <si>
    <t>Q4'17</t>
  </si>
  <si>
    <t>Q1'18</t>
  </si>
  <si>
    <t>Zysk lub straty z tytułu zaprzestania ujmowania aktywów i zobowiązań finansowych, niewycenionych do wartości godziwej przez rzis</t>
  </si>
  <si>
    <t>-</t>
  </si>
  <si>
    <t>Pozostałe instrumenty pochodne</t>
  </si>
  <si>
    <t>Instrumenty pochodne zabezpieczające</t>
  </si>
  <si>
    <t>Aktywa finansowe przeznaczone do obrotu z wyłączeniem pochodnych instrumentów finansowych</t>
  </si>
  <si>
    <t>Papiery wartościowe</t>
  </si>
  <si>
    <t>Aktywne aplikacje IKO (tys.)</t>
  </si>
  <si>
    <t>Active mobile banking applications IKO ('000)</t>
  </si>
  <si>
    <t>Inwestycje w jednostki stowarzyszone i wspólne przedsięwzięcia</t>
  </si>
  <si>
    <t>Interest and similar income</t>
  </si>
  <si>
    <t>Interest expense and similar charges</t>
  </si>
  <si>
    <t>Net interest income</t>
  </si>
  <si>
    <t>Fee and commission income</t>
  </si>
  <si>
    <t>Fee and commission expense</t>
  </si>
  <si>
    <t>Net fee and commission income</t>
  </si>
  <si>
    <t>Dividend income</t>
  </si>
  <si>
    <t>Operating profit</t>
  </si>
  <si>
    <t>Share of profit (loss) of associates and jointly controlled entities</t>
  </si>
  <si>
    <t>Key financial ratios</t>
  </si>
  <si>
    <t>Loans and advances to customers</t>
  </si>
  <si>
    <t>Amounts due to customers</t>
  </si>
  <si>
    <t>Total assets</t>
  </si>
  <si>
    <t>Total equity</t>
  </si>
  <si>
    <t>Administrative expenses</t>
  </si>
  <si>
    <t>Net profit attributable to the parent company</t>
  </si>
  <si>
    <t>Net impairment allowance and write-downs</t>
  </si>
  <si>
    <t>Capital Adequacy Ratio</t>
  </si>
  <si>
    <t>1) Income statement items used in calculating indicators capture the period of the last four quarters (annual recognition), while the statement of financial position items capture the average of the last five quarterly values of the respective assets and liabilities.</t>
  </si>
  <si>
    <t>2) Stable sources of funding include amounts due to customers and external financing in the form of: issue of securities, subordinated liabilities and amounts due to financial institutions.</t>
  </si>
  <si>
    <t>Net loans/amounts due to customers</t>
  </si>
  <si>
    <t>3) Calculated by dividing the gross carrying amount of impaired loans and advances to customers by the gross carrying amount of loans and advances to customers.</t>
  </si>
  <si>
    <t>4) Calculated by dividing the balance of impairment allowances on loans and advances to customers by the gross carrying amount of impaired loans and advances to customers.</t>
  </si>
  <si>
    <t>5) Calculated by dividing the net impairment allowances on loans and advances to customers for the period of last 4 four quarters (annual recognition) by the average of the last five quarterly values of gross loans</t>
  </si>
  <si>
    <t>Consolidated income statement</t>
  </si>
  <si>
    <t>Net other income</t>
  </si>
  <si>
    <t>Net income from financial instruments designated at fair value</t>
  </si>
  <si>
    <t>Gains less losses from investment securities</t>
  </si>
  <si>
    <t>Net foreign exchange gains (losses)</t>
  </si>
  <si>
    <t>Gains/(losses) on derecognition of financial assets and financial liabilities not measured at fair value through profit or loss</t>
  </si>
  <si>
    <t>Other operating income</t>
  </si>
  <si>
    <t>Other operating expense</t>
  </si>
  <si>
    <t>Net other operating income and expense</t>
  </si>
  <si>
    <t>Tax on certain financial institutions</t>
  </si>
  <si>
    <t>Profit before income tax</t>
  </si>
  <si>
    <t>Income tax expense</t>
  </si>
  <si>
    <t>Net profit (including non-controlling shareholders)</t>
  </si>
  <si>
    <t>Profit (loss) attributable to non-controlling shareholders</t>
  </si>
  <si>
    <t>Net profit attributable to equity holders of the parent company</t>
  </si>
  <si>
    <t>Quarterly (PLN mn)</t>
  </si>
  <si>
    <t>Consolidated statement of financial position</t>
  </si>
  <si>
    <t>As at end of period (PLN mn)</t>
  </si>
  <si>
    <t>Cash and balances with the central bank</t>
  </si>
  <si>
    <t>Amounts due from banks</t>
  </si>
  <si>
    <t>Trading assets</t>
  </si>
  <si>
    <t>Derivative financial instruments</t>
  </si>
  <si>
    <t>Hedging derivatives</t>
  </si>
  <si>
    <t>Other derivative instruments</t>
  </si>
  <si>
    <t>Securities</t>
  </si>
  <si>
    <t>- held for trading</t>
  </si>
  <si>
    <t>Financial assets designated upon initial recognition at fair value through profit and loss</t>
  </si>
  <si>
    <t>Investment securities available for sale</t>
  </si>
  <si>
    <t>Investment securities held to maturity</t>
  </si>
  <si>
    <t>Investments in associates and jointly controlled entities</t>
  </si>
  <si>
    <t>Non-current assets held for sale</t>
  </si>
  <si>
    <t>Inventories</t>
  </si>
  <si>
    <t>Intangible assets</t>
  </si>
  <si>
    <t>Tangible fixed assets, of which:</t>
  </si>
  <si>
    <t>Current income tax receivables</t>
  </si>
  <si>
    <t>Deferred income tax asset</t>
  </si>
  <si>
    <t>Other assets</t>
  </si>
  <si>
    <t>TOTAL ASSETS</t>
  </si>
  <si>
    <t>Amounts due to the central bank</t>
  </si>
  <si>
    <t>Amounts due to banks</t>
  </si>
  <si>
    <t>Liabilities of insurance activity</t>
  </si>
  <si>
    <t>Liabilities associated with assets classified as held for sale</t>
  </si>
  <si>
    <t>Debt securities in issue</t>
  </si>
  <si>
    <t>Subordinated liabilities</t>
  </si>
  <si>
    <t>Other liabilities</t>
  </si>
  <si>
    <t>Current income tax liabilities</t>
  </si>
  <si>
    <t>Deferred income tax liability</t>
  </si>
  <si>
    <t>Provisions</t>
  </si>
  <si>
    <t>TOTAL LIABILITIES</t>
  </si>
  <si>
    <t>Share capital</t>
  </si>
  <si>
    <t>Other capital</t>
  </si>
  <si>
    <t>Currency translation differences from foreign operations</t>
  </si>
  <si>
    <t>Unappropriated profits</t>
  </si>
  <si>
    <t>Net profit for the year</t>
  </si>
  <si>
    <t>Capital and reserves attributable to equity holders of the parent company</t>
  </si>
  <si>
    <t>Non-controlling interest</t>
  </si>
  <si>
    <t>TOTAL EQUITY</t>
  </si>
  <si>
    <t>TOTAL LIABILITIES AND EQUITY</t>
  </si>
  <si>
    <t>Q2'18</t>
  </si>
  <si>
    <t>Q3'18</t>
  </si>
  <si>
    <t>Amortyzacja</t>
  </si>
  <si>
    <t>Składka i wpłaty na Bankowy Fundusz Gwarancyjny (BFG)</t>
  </si>
  <si>
    <t>Podatki i opłaty</t>
  </si>
  <si>
    <t>Razem</t>
  </si>
  <si>
    <t>Ubezpieczenia, w tym:</t>
  </si>
  <si>
    <t>Inne świadczenia na rzecz pracowników</t>
  </si>
  <si>
    <t>Otrzymane odszkodowania, kary i grzywny</t>
  </si>
  <si>
    <t>Przychody uboczne</t>
  </si>
  <si>
    <t>Odzyskane należności przedawnione, umorzone, nieściągalne</t>
  </si>
  <si>
    <t>Rozwiązanie rezerwy na przyszłe płatności</t>
  </si>
  <si>
    <t>Rozwiązanie rezerwy na sprawy sporne</t>
  </si>
  <si>
    <t>Koszty administracyjne</t>
  </si>
  <si>
    <t>Other operating expenses</t>
  </si>
  <si>
    <t>Koszty sprzedanych produktów i usług</t>
  </si>
  <si>
    <t>Koszty przekazanych darowizn</t>
  </si>
  <si>
    <t>Koszty uboczne</t>
  </si>
  <si>
    <t>Utworzenie rezerwy na przyszłe płatności</t>
  </si>
  <si>
    <t>Inne</t>
  </si>
  <si>
    <t>kredytów i innych należności udzielonych bankom</t>
  </si>
  <si>
    <t xml:space="preserve">instrumentów pochodnych zabezpieczających </t>
  </si>
  <si>
    <t>dłużnych papierów wartościowych</t>
  </si>
  <si>
    <t>kredytów i pożyczek udzielonych klientom</t>
  </si>
  <si>
    <t xml:space="preserve">w tym: przychody z tytułu odsetek od instrumentów finansowych z utratą wartości </t>
  </si>
  <si>
    <t>kredytów i pożyczek otrzymanych</t>
  </si>
  <si>
    <t>emisji papierów wartościowych</t>
  </si>
  <si>
    <t>zobowiązań podporządkowanych</t>
  </si>
  <si>
    <t>Koszty z tytuły odsetek od:</t>
  </si>
  <si>
    <t>Przychody z tytułu odsetek od:</t>
  </si>
  <si>
    <t>Interest income from:</t>
  </si>
  <si>
    <t>spr</t>
  </si>
  <si>
    <t>30.09.2017</t>
  </si>
  <si>
    <t>31.12.2016</t>
  </si>
  <si>
    <t>Pozostałe kapitały rezerwowe</t>
  </si>
  <si>
    <t>Aktywa z tytułu podatku odroczonego, które są uzależnione od przyszłej rentowności, ale nie pochodzą z różnic przejściowych</t>
  </si>
  <si>
    <t>Korekty w kapitale podstawowym Tier I z tytułu filtrów ostrożnościowych</t>
  </si>
  <si>
    <t>Inne korekty w okresie przejściowym w kapitale podstawowym Tier I</t>
  </si>
  <si>
    <t>Ryzyko kredytowe</t>
  </si>
  <si>
    <t>Ryzyko operacyjne</t>
  </si>
  <si>
    <t>Ryzyko rynkowe</t>
  </si>
  <si>
    <t>Ryzyko korekty wyceny kredytowej</t>
  </si>
  <si>
    <t>Ryzyko rozliczenia/dostawy</t>
  </si>
  <si>
    <t>Łączny współczynnik kapitałowy</t>
  </si>
  <si>
    <t>Współczynnik kapitału Tier 1</t>
  </si>
  <si>
    <t>30.09.2018</t>
  </si>
  <si>
    <t>30.06.2018</t>
  </si>
  <si>
    <t>31.03.2018</t>
  </si>
  <si>
    <t>31.12.2017</t>
  </si>
  <si>
    <t>30.06.2017</t>
  </si>
  <si>
    <t>31.03.2017</t>
  </si>
  <si>
    <t>31.03.2016</t>
  </si>
  <si>
    <t>30.06.2016</t>
  </si>
  <si>
    <t>30.09.2016</t>
  </si>
  <si>
    <t>31.03.2015</t>
  </si>
  <si>
    <t>30.06.2015</t>
  </si>
  <si>
    <t>30.09.2015</t>
  </si>
  <si>
    <t>31.12.2015</t>
  </si>
  <si>
    <t>31.03.2014</t>
  </si>
  <si>
    <t>30.06.2014</t>
  </si>
  <si>
    <t>30.09.2014</t>
  </si>
  <si>
    <t>31.12.2014</t>
  </si>
  <si>
    <t>31.12.2013</t>
  </si>
  <si>
    <t>30.09.2013</t>
  </si>
  <si>
    <t>30.06.2013</t>
  </si>
  <si>
    <t>31.03.2013</t>
  </si>
  <si>
    <t>31.12.2012</t>
  </si>
  <si>
    <t>30.09.2012</t>
  </si>
  <si>
    <t>30.06.2012</t>
  </si>
  <si>
    <t>31.03.2012</t>
  </si>
  <si>
    <t>31.12.2011</t>
  </si>
  <si>
    <t>30.09.2011</t>
  </si>
  <si>
    <t>30.06.2011</t>
  </si>
  <si>
    <t>31.03.2011</t>
  </si>
  <si>
    <t>31.03.2010</t>
  </si>
  <si>
    <t>30.06.2010</t>
  </si>
  <si>
    <t>30.09.2010</t>
  </si>
  <si>
    <t>31.12.2010</t>
  </si>
  <si>
    <t>31.12.2009</t>
  </si>
  <si>
    <t>30.09.2009</t>
  </si>
  <si>
    <t>30.06.2009</t>
  </si>
  <si>
    <t>31.03.2009</t>
  </si>
  <si>
    <t>FUNDUSZE WŁASNE GRUPY KAPITAŁOWEJ</t>
  </si>
  <si>
    <t>Fundusze podstawowe (Tier 1)</t>
  </si>
  <si>
    <t xml:space="preserve">Fundusz ogólnego ryzyka </t>
  </si>
  <si>
    <t>Zaangażowania kapitałowe pomniejszające fundusze własne</t>
  </si>
  <si>
    <t>Fundusze uzupełniające (Tier 2)</t>
  </si>
  <si>
    <t>RAZEM FUNDUSZE WŁASNE</t>
  </si>
  <si>
    <t>Wymogi kapitałowe</t>
  </si>
  <si>
    <t>Łączny wymóg kapitałowy</t>
  </si>
  <si>
    <t>Przeznaczone do obrotu</t>
  </si>
  <si>
    <t>Wyceniane do wartości godziwej przez rachunek zysków i strat:</t>
  </si>
  <si>
    <t>Zobowiązania wobec ludności</t>
  </si>
  <si>
    <t>Środki na rachunkach bieżących i depozyty O/N</t>
  </si>
  <si>
    <t>Depozyty terminowe</t>
  </si>
  <si>
    <t>Zobowiązania wobec podmiotów gospodarczych</t>
  </si>
  <si>
    <t>Otrzymane kredyty i pożyczki:</t>
  </si>
  <si>
    <t>Transakcje z przyrzeczeniem odkupu</t>
  </si>
  <si>
    <t>Zobowiązania wobec jednostek budżetowych</t>
  </si>
  <si>
    <t xml:space="preserve">Razem </t>
  </si>
  <si>
    <t>bankowości detalicznej i prywatnej</t>
  </si>
  <si>
    <t>korporacyjne</t>
  </si>
  <si>
    <t>firm i przedsiębiorstw</t>
  </si>
  <si>
    <t>otrzymane kredyty i pożyczki</t>
  </si>
  <si>
    <t>transakcje z przyrzeczeniem odkupu</t>
  </si>
  <si>
    <t>pozostałe zobowiązania (w tym zobowiązania z tytułu produktów ubezpieczeniowych)</t>
  </si>
  <si>
    <t>Wyceniane według zamortyzowanego kosztu:</t>
  </si>
  <si>
    <t>Otrzymane kredyty i pożyczki</t>
  </si>
  <si>
    <t>małych i średnich przedsiębiorstw</t>
  </si>
  <si>
    <t>Według segmentów klienta</t>
  </si>
  <si>
    <t>Kredyty i pożyczki udzielone brutto, w tym:</t>
  </si>
  <si>
    <t>bankowości hipotecznej</t>
  </si>
  <si>
    <t xml:space="preserve">środki Domu Maklerskiego w Funduszu Gwarancyjnym Giełdy </t>
  </si>
  <si>
    <t>Odpisy z tytułu utraty wartości kredytów i pożyczek</t>
  </si>
  <si>
    <t>Kredyty i pożyczki udzielone netto</t>
  </si>
  <si>
    <t>międzynarodowe organizacje finansowe</t>
  </si>
  <si>
    <t>pozostałe należności</t>
  </si>
  <si>
    <t>korporacyjne (w tym transakcje z przyrzeczeniem sprzedaży)</t>
  </si>
  <si>
    <t>By customer segments</t>
  </si>
  <si>
    <t>mortgage banking</t>
  </si>
  <si>
    <t>corporate</t>
  </si>
  <si>
    <t>firms and undertakings</t>
  </si>
  <si>
    <t>retail and private banking</t>
  </si>
  <si>
    <t>Net allowances for expected credit losses /impairment allowances on loans and advances</t>
  </si>
  <si>
    <t>Loans and advances to customers, net</t>
  </si>
  <si>
    <t>Loans and advances to customers, gross, of which:</t>
  </si>
  <si>
    <t>corporate (including eceivables in respect of repurchase agreements</t>
  </si>
  <si>
    <t>loans and advances received</t>
  </si>
  <si>
    <t>amounts due from repurchase agreements</t>
  </si>
  <si>
    <t>other liabilities (including liabilities in respect of insurance products)</t>
  </si>
  <si>
    <t>Total</t>
  </si>
  <si>
    <t>Held for trading</t>
  </si>
  <si>
    <t>Measured at amortized cost</t>
  </si>
  <si>
    <t>Amounts due to retail customers</t>
  </si>
  <si>
    <t>Current accounts and overnight deposits</t>
  </si>
  <si>
    <t>Term deposits</t>
  </si>
  <si>
    <t>Amounts due to corporate entities</t>
  </si>
  <si>
    <t>Amounts due from repurchase agreements</t>
  </si>
  <si>
    <t>Amounts due to public entities</t>
  </si>
  <si>
    <t>Loans and advances received</t>
  </si>
  <si>
    <t>Liabilities in respect of insurance products</t>
  </si>
  <si>
    <t>Zobowiązania z tytułu produktów ubezpieczeniowych</t>
  </si>
  <si>
    <t>Stan na koniec okresu (mln PLN)</t>
  </si>
  <si>
    <t>Korekta z tytułu rachunkowości zabezpieczeń wartości godziwej</t>
  </si>
  <si>
    <t>Razem kredyty i pożyczki udzielone klientom</t>
  </si>
  <si>
    <t>wyceniane według zamortyzowanego kosztu, w tym:</t>
  </si>
  <si>
    <t>nieprzeznaczone do obrotu obowiązkowo wycenione do wartości godziwej przez rachunek zysków i strat</t>
  </si>
  <si>
    <t>mieszkaniowe</t>
  </si>
  <si>
    <t>gospodarcze</t>
  </si>
  <si>
    <t>konsumpcyjne</t>
  </si>
  <si>
    <t>Transakcje z przyrzeczeniem sprzedaży</t>
  </si>
  <si>
    <t>Należności z tytułu leasingu finansowego</t>
  </si>
  <si>
    <t>Kredyty i pożyczki udzielone klientom (bez korekty z tytułu rachunkowości zabezpieczeń wartości godziwej):</t>
  </si>
  <si>
    <t>Dłużne papiery wartościowe</t>
  </si>
  <si>
    <t>Total loans and advances to customers</t>
  </si>
  <si>
    <t>Adjustment relating to fair value hedge accounting</t>
  </si>
  <si>
    <t>measured at amortized cost, of which:</t>
  </si>
  <si>
    <t>Loans and advances to customers (excluding adjustments relating to fair value hedge accounting)</t>
  </si>
  <si>
    <t>housing</t>
  </si>
  <si>
    <t>consumer</t>
  </si>
  <si>
    <t>Receivables in respect of repurchase agreements</t>
  </si>
  <si>
    <t>not held for trading, mandatorily measured at fair value through profit or loss</t>
  </si>
  <si>
    <t>Debt securities</t>
  </si>
  <si>
    <t>Finance lease receivables</t>
  </si>
  <si>
    <t>Jakość portfela kredytowego wg MSSF 9</t>
  </si>
  <si>
    <t>Quality of loan portfolio under IFRS 9</t>
  </si>
  <si>
    <t>Jakość portfela kredytów i pożyczek wg MSR 39</t>
  </si>
  <si>
    <t>Wynik  z tytułu opłat i prowizji</t>
  </si>
  <si>
    <t>Kwartalnie (mln PLN)</t>
  </si>
  <si>
    <r>
      <t>Utworzenie rezerwy na sprawy sporne</t>
    </r>
    <r>
      <rPr>
        <vertAlign val="superscript"/>
        <sz val="10"/>
        <rFont val="PKO Bank Polski"/>
        <family val="2"/>
        <charset val="238"/>
      </rPr>
      <t>2</t>
    </r>
  </si>
  <si>
    <t>Koszty rzeczowe</t>
  </si>
  <si>
    <t>Koszty z tytułu Funduszu Wsparcia dla Kredytobiorców</t>
  </si>
  <si>
    <t>Utworzenie rezerwy na potencjalny zwrot klientom prowizji i opłat</t>
  </si>
  <si>
    <t>Taxes and charges</t>
  </si>
  <si>
    <t>Employee benefits</t>
  </si>
  <si>
    <t>Świadczenia pracownicze</t>
  </si>
  <si>
    <t>Overheads</t>
  </si>
  <si>
    <t>Depreciation and amortization</t>
  </si>
  <si>
    <t>Contributions and fees to the Bank Guarantee Fund (BGF)</t>
  </si>
  <si>
    <t>Social insurance, of which:</t>
  </si>
  <si>
    <t>Other employee benefits</t>
  </si>
  <si>
    <t>Borrower Support Fund</t>
  </si>
  <si>
    <t>Net income from sale of products and services</t>
  </si>
  <si>
    <t>Damages, penalties and fines received</t>
  </si>
  <si>
    <t>Recovery of expired and written-off receivables</t>
  </si>
  <si>
    <t>Other includes: Net income from insurance operations</t>
  </si>
  <si>
    <t>Costs of sale of products and services</t>
  </si>
  <si>
    <t>Costs of sale and disposal of tangible fixed assets, intangible assets and assets held for sale</t>
  </si>
  <si>
    <t>Donations</t>
  </si>
  <si>
    <t>Sundry expenses</t>
  </si>
  <si>
    <t>Other</t>
  </si>
  <si>
    <t>Other operating income and expense</t>
  </si>
  <si>
    <t xml:space="preserve">Wynik z tytułu odpisów na straty kredytowe </t>
  </si>
  <si>
    <t>Wynik z tytułu utraty wartości aktywów niefinansowych</t>
  </si>
  <si>
    <t>Koszty działania</t>
  </si>
  <si>
    <t>Podatek od niektórych instytucj finansowych</t>
  </si>
  <si>
    <t>Udział w zyskach i stratach jednostek
stowarzyszonych i współzależnych</t>
  </si>
  <si>
    <t>Wynik segmentu (brutto)</t>
  </si>
  <si>
    <t xml:space="preserve">  Wynik na operacjach finansowych</t>
  </si>
  <si>
    <t xml:space="preserve">  Wynik z pozycji wymiany</t>
  </si>
  <si>
    <t xml:space="preserve">  Zyski lub straty z tytułu zaprzestania ujmowania aktywów i zobowiązań finansowych</t>
  </si>
  <si>
    <t xml:space="preserve">  Wynik z tytuły modyfikacji</t>
  </si>
  <si>
    <t xml:space="preserve">  Przychody z tytułu dywidend</t>
  </si>
  <si>
    <t xml:space="preserve">  Wynik z pozostałej działalności operacyjnej</t>
  </si>
  <si>
    <t xml:space="preserve">  Amortyzacja</t>
  </si>
  <si>
    <t>Obszar Bankowości Korporacyjnej i Inwestycyjnej</t>
  </si>
  <si>
    <t>Administrative expenses, of which:</t>
  </si>
  <si>
    <t>Amortization and depreciation</t>
  </si>
  <si>
    <t>Segment gross profit</t>
  </si>
  <si>
    <t>Share of profit (loss) of associates and joint ventures</t>
  </si>
  <si>
    <t>Income/expenses relating to internal customers</t>
  </si>
  <si>
    <t>Net result from financial operations</t>
  </si>
  <si>
    <t>Impairment of non-financial assets</t>
  </si>
  <si>
    <t>Net credit losses</t>
  </si>
  <si>
    <t>Retail  Segment</t>
  </si>
  <si>
    <t>Segment detaliczny</t>
  </si>
  <si>
    <t>Corporate and Investment segment</t>
  </si>
  <si>
    <t>1) z uwzględnieniem segmentu "Centrum transferowe</t>
  </si>
  <si>
    <t>1) including "Transfer center" segment</t>
  </si>
  <si>
    <t>Dane operacyjne</t>
  </si>
  <si>
    <t>Operational data</t>
  </si>
  <si>
    <t>inne</t>
  </si>
  <si>
    <t>zobowiązań wobec banków (z wyłączeniem kredytów i pożyczek otrzymanych)</t>
  </si>
  <si>
    <t xml:space="preserve">  wycenianych według zamortyzowanego kosztu</t>
  </si>
  <si>
    <t xml:space="preserve">  wycenianych do wartości godziwej przez inne dochody całkowite</t>
  </si>
  <si>
    <t xml:space="preserve">  wycenianych do wartości godziwej przez rachunek zysków i strat</t>
  </si>
  <si>
    <r>
      <t>zobowiązań wobec klientów</t>
    </r>
    <r>
      <rPr>
        <b/>
        <sz val="10"/>
        <color indexed="8"/>
        <rFont val="PKO Bank Polski"/>
        <family val="2"/>
        <charset val="238"/>
      </rPr>
      <t xml:space="preserve"> (z wyłączeniem kredytów i pożyczek otrzymanych)</t>
    </r>
  </si>
  <si>
    <t>loans to and other receivables from banks</t>
  </si>
  <si>
    <t>of which: interest income on impaired financial instruments</t>
  </si>
  <si>
    <t>loans and advances to customers</t>
  </si>
  <si>
    <t>debt securities</t>
  </si>
  <si>
    <t xml:space="preserve">  measured at fair value through profit or loss</t>
  </si>
  <si>
    <t xml:space="preserve">  measured at fair value through OCI</t>
  </si>
  <si>
    <t xml:space="preserve">  measured at amortized cost</t>
  </si>
  <si>
    <t>amounts due to banks (excluding loans and advances)</t>
  </si>
  <si>
    <t>amounts due to customers (excluding loans and advances)</t>
  </si>
  <si>
    <t>subordinated liabilities</t>
  </si>
  <si>
    <t>debt securities issued</t>
  </si>
  <si>
    <t>other</t>
  </si>
  <si>
    <t>customer orders</t>
  </si>
  <si>
    <t>sale and distribution of court fee stamps</t>
  </si>
  <si>
    <t>servicing foreign mass transactions</t>
  </si>
  <si>
    <t>cash transactions</t>
  </si>
  <si>
    <t>servicing bank accounts</t>
  </si>
  <si>
    <t>Cards</t>
  </si>
  <si>
    <t>brokerage activities</t>
  </si>
  <si>
    <t>servicing of investment funds and OFE (including management fees)</t>
  </si>
  <si>
    <t>lending</t>
  </si>
  <si>
    <t>Net commission income</t>
  </si>
  <si>
    <t>fee and commissions for operating services provided by banks</t>
  </si>
  <si>
    <t>settlement services</t>
  </si>
  <si>
    <t>cost of construction investment supervision and property valuation</t>
  </si>
  <si>
    <t>derivative hedging instruments</t>
  </si>
  <si>
    <t>własnej emisji papierów dłużnych i zobowiązań podporządkowanych</t>
  </si>
  <si>
    <t>Interest expenses on:</t>
  </si>
  <si>
    <t>Przychody z tytułu opłat i prowizji z tytułu</t>
  </si>
  <si>
    <t>obsługi rachunków bankowych</t>
  </si>
  <si>
    <t>kart płatniczych</t>
  </si>
  <si>
    <t>operacji kasowych</t>
  </si>
  <si>
    <t>obsługi funduszy inwestycyjnych oraz OFE (w tym opłaty za zarządzanie)</t>
  </si>
  <si>
    <t>Koszty z tytułu opłat i prowizji z tytułu</t>
  </si>
  <si>
    <t>prowizji za usługi operacyjne innych banków</t>
  </si>
  <si>
    <t>Sprzedaż, likwidacja srodków trwałych, wartosci niematerialnych oraz aktywów do zbycia</t>
  </si>
  <si>
    <t>Przychody ze sprzedaży udziałów w jednostkach współzależnych i stowarzyszonych</t>
  </si>
  <si>
    <t>Wynik z tytułu odpisów aktualizujacych z tytułu utraty wartosci</t>
  </si>
  <si>
    <t>usług rozliczeniowych</t>
  </si>
  <si>
    <t>ubezpieczeń kredytów</t>
  </si>
  <si>
    <t>sprzedaży i dystrybucji znaków opłaty sądowej</t>
  </si>
  <si>
    <t>Sprzedaż, likwidacja srodków trwałych oraz wartosci niematerialnych aktywów do zbycia</t>
  </si>
  <si>
    <t>wysyłki sms</t>
  </si>
  <si>
    <t>kontroli inwestycji budowlanych i wyceny nieruchomości</t>
  </si>
  <si>
    <t>zleceń klientowskich</t>
  </si>
  <si>
    <t>usług akwizycyjnych/prowizji poniesionych na rzecz podmiotów zewnętrznych za sprzedaż produktów</t>
  </si>
  <si>
    <t>Release of provision for legal claims</t>
  </si>
  <si>
    <t>Release of provision for future payments</t>
  </si>
  <si>
    <t>Gains on sale or scrapping of property, plant and equipment, intangible assets and assets held for sale</t>
  </si>
  <si>
    <t>Gains associated with loss of control over a subsidiary</t>
  </si>
  <si>
    <t>Provision for a potential return of fees and commissions to customers</t>
  </si>
  <si>
    <t>Provision for future payments</t>
  </si>
  <si>
    <t>Provision for legal claims</t>
  </si>
  <si>
    <t>Ancillary income</t>
  </si>
  <si>
    <t>card activities</t>
  </si>
  <si>
    <t>commission paid to external entities for sales of products</t>
  </si>
  <si>
    <t>sending text messages (SMS)</t>
  </si>
  <si>
    <t>Fee and commission espense on:</t>
  </si>
  <si>
    <t>Investments in associates and joint ventures</t>
  </si>
  <si>
    <t xml:space="preserve"> kapitałowe papiery wartościowe</t>
  </si>
  <si>
    <t xml:space="preserve"> dłużne papiery wartościowe</t>
  </si>
  <si>
    <t>Q4'18</t>
  </si>
  <si>
    <t>Inne: Aktywa trwałe przeznaczone do sprzedaży, Rzeczowe aktywa trwałe, Wartości niematerialne, , Zapasy etc.</t>
  </si>
  <si>
    <t>dłużne papiery wartościowe (korporacyjne)</t>
  </si>
  <si>
    <t>dłużne papiery wartościowe (komunalne)</t>
  </si>
  <si>
    <t>Odpisy z tytułu utraty wartości</t>
  </si>
  <si>
    <t>Odsetki</t>
  </si>
  <si>
    <t>Amounts due to retail clients</t>
  </si>
  <si>
    <t>Loans and advances</t>
  </si>
  <si>
    <t>Amounts due to public sector</t>
  </si>
  <si>
    <t>Impairment allowances on loans and advances to customers</t>
  </si>
  <si>
    <t>Interest</t>
  </si>
  <si>
    <t>consumer loans</t>
  </si>
  <si>
    <t>mortgage loans</t>
  </si>
  <si>
    <t>gospodarcze (w tym międzynarodowe organizacje finansowe)</t>
  </si>
  <si>
    <t>Quality of loan portfolio under MSR 39</t>
  </si>
  <si>
    <t>Kapitał krótkoterminowy (Tier 3)</t>
  </si>
  <si>
    <t xml:space="preserve">  Zaangażowania kapitałowe</t>
  </si>
  <si>
    <t>FUNDUSZE WŁASNE PKO Banku Polskiego</t>
  </si>
  <si>
    <t>Inne dochody całkowite</t>
  </si>
  <si>
    <t>Korekty w kapitale podstawowym Tier 1 z tytułu filtrów ostrożnościowych</t>
  </si>
  <si>
    <t>Short-term equity (Tier 3 capital)</t>
  </si>
  <si>
    <t>Basic funds (Tier 1 capital)</t>
  </si>
  <si>
    <t>BANK'S OWN FUNDS</t>
  </si>
  <si>
    <t>Other reserves</t>
  </si>
  <si>
    <t>General banking risk fund for unidentified risk of banking activities</t>
  </si>
  <si>
    <t>Equity exposures</t>
  </si>
  <si>
    <t>Supplementary funds (Tier 2 capital)</t>
  </si>
  <si>
    <t>Credit risk</t>
  </si>
  <si>
    <t>Capital requirements</t>
  </si>
  <si>
    <t>Market risk</t>
  </si>
  <si>
    <t>Operational risk</t>
  </si>
  <si>
    <t>Pozostałe kapitały rezerwowe (w tym kapitał zapasowy)</t>
  </si>
  <si>
    <t>Instrumenty kapitałowe i pożyczki podporządkowane kwalifikujące się jako kapitał Tier II</t>
  </si>
  <si>
    <t>Requirements as regard own funds</t>
  </si>
  <si>
    <t>Total capital adequacy ratio</t>
  </si>
  <si>
    <t>Tier 1 Capital ratio</t>
  </si>
  <si>
    <t>Total own funds</t>
  </si>
  <si>
    <t>Basic funds (Tier 1)</t>
  </si>
  <si>
    <t>Retained earnings</t>
  </si>
  <si>
    <t>General banking risk fund for unidentified banking risk</t>
  </si>
  <si>
    <t>Other accumulated comprehensive income</t>
  </si>
  <si>
    <t>Goodwill</t>
  </si>
  <si>
    <t>Other intangible assets</t>
  </si>
  <si>
    <t>Assets from deferred tax that are dependent on future profitability, but not derived from temporary differences</t>
  </si>
  <si>
    <t>Other adjustments to Tier I Capital during transitional period</t>
  </si>
  <si>
    <t>Supplementary funds (Tier 2)</t>
  </si>
  <si>
    <t>Capital instruments and subordinated loans eligible as Tier II Capital</t>
  </si>
  <si>
    <t>Credit valuation adjustment risk</t>
  </si>
  <si>
    <t>Settlement / delivery risk</t>
  </si>
  <si>
    <t>GROUP'S OWN FUNDS</t>
  </si>
  <si>
    <t xml:space="preserve">Wartości niematerialne, w tym </t>
  </si>
  <si>
    <t xml:space="preserve"> Wartość firmy</t>
  </si>
  <si>
    <t xml:space="preserve">   Wartość firmy</t>
  </si>
  <si>
    <t>Wartości niematerialne, w tym</t>
  </si>
  <si>
    <t>31.12.2018</t>
  </si>
  <si>
    <t xml:space="preserve">   - aktywa w etapie 1</t>
  </si>
  <si>
    <t xml:space="preserve">   - aktywa w etapie 2</t>
  </si>
  <si>
    <t xml:space="preserve">   - aktywa w etapie 3</t>
  </si>
  <si>
    <t>Odpis na straty finansowe</t>
  </si>
  <si>
    <t>Wartość netto</t>
  </si>
  <si>
    <t>odpisy z tytułu utraty wartosci</t>
  </si>
  <si>
    <t>Kredyty i pożyczki udzielone klientom brutto</t>
  </si>
  <si>
    <t>konsumpcyjne - wartość brutto</t>
  </si>
  <si>
    <t>Dłużne papiery wartościowe (korporacyjne) - wartość brutto</t>
  </si>
  <si>
    <t>mieszkaniowe - wartość brutto</t>
  </si>
  <si>
    <t>Dłużne papiery wartościowe (komunalne) - wartość brutto</t>
  </si>
  <si>
    <t>Odpisy z tytułu utraty wartości - Razem</t>
  </si>
  <si>
    <t>Udział kredytów z rozpoznaną utratą wartości</t>
  </si>
  <si>
    <t xml:space="preserve">Wskaźnik pokrycia kredytów z rozpoznaną utratą wartości* </t>
  </si>
  <si>
    <t>* Wskaźnik pokrycia kredytów z rozpoznaną utratą wartości jest liczony jako iloraz całości odpisu (zarówno dla kredytów z utratą wartości jak i IBNR) oraz sumy ekspozycji brutto dla kredytów z utratą wartości.</t>
  </si>
  <si>
    <t>Inne należnosci (w tym aktywa finansowe)</t>
  </si>
  <si>
    <t>Equity securities</t>
  </si>
  <si>
    <t>Loans and advances to customers and amounts due form banks measured at amortized cost</t>
  </si>
  <si>
    <t>Other receivables (including financial assets)</t>
  </si>
  <si>
    <t>loan insurance</t>
  </si>
  <si>
    <t xml:space="preserve"> z czego: karty kredytowe</t>
  </si>
  <si>
    <t xml:space="preserve"> of which: credit cards</t>
  </si>
  <si>
    <t>Należności od klientów</t>
  </si>
  <si>
    <t>Pozostałe</t>
  </si>
  <si>
    <t xml:space="preserve"> kredyty mieszkaniowe</t>
  </si>
  <si>
    <t xml:space="preserve"> kredyty gospodarcze</t>
  </si>
  <si>
    <t xml:space="preserve"> papiery wartościowe</t>
  </si>
  <si>
    <t xml:space="preserve"> zobowiązań wobec banków</t>
  </si>
  <si>
    <r>
      <t xml:space="preserve"> zobowiązań wobec klientów</t>
    </r>
    <r>
      <rPr>
        <i/>
        <vertAlign val="superscript"/>
        <sz val="9"/>
        <color indexed="8"/>
        <rFont val="PKO Bank Polski"/>
        <family val="2"/>
        <charset val="238"/>
      </rPr>
      <t xml:space="preserve"> </t>
    </r>
  </si>
  <si>
    <t>Należnosci od banków</t>
  </si>
  <si>
    <t xml:space="preserve"> kredyty konsumpcyjne</t>
  </si>
  <si>
    <t>Wyceniane według metody zindywidualizowanej</t>
  </si>
  <si>
    <t>Wyceniane według metody portfelowej</t>
  </si>
  <si>
    <t xml:space="preserve"> Bez stwierdzonej utraty wartości</t>
  </si>
  <si>
    <t xml:space="preserve"> Ze stwierdzoną utratą wartości</t>
  </si>
  <si>
    <t>Wyceniane według metody grupowej (IBNR)</t>
  </si>
  <si>
    <t>Odpisy na ekspozycje wyceniane według metody zindywidualizowanej</t>
  </si>
  <si>
    <t xml:space="preserve"> 'Ze stwierdzoną utratą wartości:</t>
  </si>
  <si>
    <t>Odpisy na ekspozycje wyceniane według metody portfelowej</t>
  </si>
  <si>
    <t>Odpisy na ekspozycje wyceniane według metody grupowej (IBNR)</t>
  </si>
  <si>
    <t>Odpisy - razem</t>
  </si>
  <si>
    <t>gospodarcze (w tym międzynarodowe organizacje finansowe) - wartość brutto*</t>
  </si>
  <si>
    <t>Kredyty i pożyczki udzielone klientom według metod kalkulacji odpisów</t>
  </si>
  <si>
    <t>Kredyty i pożyczki udzielone klientom - ekspozycje Grupy Kapitałowej na ryzyko kredytowe</t>
  </si>
  <si>
    <t>Kredyty i pożyczki z rozpoznaną utratą wartości</t>
  </si>
  <si>
    <t>Kredyty i pożyczki bez rozpoznanej utraty wartości</t>
  </si>
  <si>
    <t>Assessed on an individual basis</t>
  </si>
  <si>
    <t>Impaired</t>
  </si>
  <si>
    <t>Not impaired</t>
  </si>
  <si>
    <t>Assessed on a portfolio basis</t>
  </si>
  <si>
    <t>Assessed on a group basis (IBNR)</t>
  </si>
  <si>
    <t>Loans and advances to customers, gross</t>
  </si>
  <si>
    <t>Allowances on exposures assessed on an individual basis</t>
  </si>
  <si>
    <t>Allowances on exposures assessed on a portfolio basis</t>
  </si>
  <si>
    <t>Allowances on exposures assessed on a group basis (IBNR),</t>
  </si>
  <si>
    <t>Allowances - total</t>
  </si>
  <si>
    <t>debt securities (corporate), gross</t>
  </si>
  <si>
    <t>debt securities (municipal), gross</t>
  </si>
  <si>
    <t>debt securities (municipal), net</t>
  </si>
  <si>
    <t>debt securities (corporate), net</t>
  </si>
  <si>
    <t>allowances</t>
  </si>
  <si>
    <t>housing, gross</t>
  </si>
  <si>
    <t>housing, net</t>
  </si>
  <si>
    <t>consumer, gross</t>
  </si>
  <si>
    <t>consumer, net</t>
  </si>
  <si>
    <t>corporate, net</t>
  </si>
  <si>
    <t>Accrued interest</t>
  </si>
  <si>
    <t>Loans and advances to customers - the Group’s exposure to credit risk</t>
  </si>
  <si>
    <t>impaired</t>
  </si>
  <si>
    <t>not impaired</t>
  </si>
  <si>
    <t xml:space="preserve"> impairment allowances, impaired</t>
  </si>
  <si>
    <t xml:space="preserve"> impairment allowances, not impaired</t>
  </si>
  <si>
    <t>Impairment allowances</t>
  </si>
  <si>
    <t>Odpisy z tytułu utraty na należnosci leasingowe</t>
  </si>
  <si>
    <t>Alowances on lease receivables</t>
  </si>
  <si>
    <t>Kredyty i pożyczki wyceniane według zamortyzowanego kosztu</t>
  </si>
  <si>
    <t>Kredyty i pożyczki nieprzeznaczone do obrotu wyceniane do wartości godziwej przez RZiS</t>
  </si>
  <si>
    <t>gospodarcze - wartość brutto</t>
  </si>
  <si>
    <t>transakcje z przyrzeczeniem sprzedaży - wartość brutto</t>
  </si>
  <si>
    <t>należności z tytułu leasingu finansowego - wartość brutto</t>
  </si>
  <si>
    <t xml:space="preserve">   - aktywa w fazie 1</t>
  </si>
  <si>
    <t xml:space="preserve">   - aktywa w fazie 2</t>
  </si>
  <si>
    <t xml:space="preserve">   - aktywa w fazie 3</t>
  </si>
  <si>
    <t>Loans and advances measured at amortized cost</t>
  </si>
  <si>
    <t xml:space="preserve">  - assets in stage 1</t>
  </si>
  <si>
    <t xml:space="preserve">  - assets in stage 2</t>
  </si>
  <si>
    <t xml:space="preserve">  - assets in stage 3</t>
  </si>
  <si>
    <t>Loans and advances not held for trading, measured at fair value through Profit or loss</t>
  </si>
  <si>
    <t>corporate, gross</t>
  </si>
  <si>
    <t>receivables in respect of repurchase agreements, gross</t>
  </si>
  <si>
    <t>finance lease receivables, gross</t>
  </si>
  <si>
    <t>Allowances for expected credit losses</t>
  </si>
  <si>
    <t>Coverage ratio of impaired loans</t>
  </si>
  <si>
    <t>Share of impaired exposures</t>
  </si>
  <si>
    <t>Tier 3 capital</t>
  </si>
  <si>
    <t>Minority interest</t>
  </si>
  <si>
    <t>Equity instruments and subordinated loans eligible as Tier 2 capital</t>
  </si>
  <si>
    <t>Adjustments in Tier 1 basic capital due to prudential filters</t>
  </si>
  <si>
    <t>Other transitional period adjustments to common equity Tier 1 capital</t>
  </si>
  <si>
    <r>
      <t>Cost of risk</t>
    </r>
    <r>
      <rPr>
        <vertAlign val="superscript"/>
        <sz val="10"/>
        <color rgb="FF000000"/>
        <rFont val="PKO Bank Polski"/>
        <family val="2"/>
        <charset val="238"/>
      </rPr>
      <t>5)</t>
    </r>
  </si>
  <si>
    <t>Kredyty brutto/depozyty</t>
  </si>
  <si>
    <r>
      <t>Cost/assets Ratio</t>
    </r>
    <r>
      <rPr>
        <vertAlign val="superscript"/>
        <sz val="10"/>
        <color rgb="FF000000"/>
        <rFont val="PKO Bank Polski"/>
        <family val="2"/>
        <charset val="238"/>
      </rPr>
      <t>1)</t>
    </r>
  </si>
  <si>
    <r>
      <t>Net loans/Stable sources of funding</t>
    </r>
    <r>
      <rPr>
        <vertAlign val="superscript"/>
        <sz val="10"/>
        <color rgb="FF000000"/>
        <rFont val="PKO Bank Polski"/>
        <family val="2"/>
        <charset val="238"/>
      </rPr>
      <t>2)</t>
    </r>
  </si>
  <si>
    <r>
      <t>Share of loans with recognized impairment in gross loans</t>
    </r>
    <r>
      <rPr>
        <vertAlign val="superscript"/>
        <sz val="10"/>
        <color rgb="FF000000"/>
        <rFont val="PKO Bank Polski"/>
        <family val="2"/>
        <charset val="238"/>
      </rPr>
      <t>3)</t>
    </r>
  </si>
  <si>
    <r>
      <t>Coverage of loans with recognized impairment by impairment allowance</t>
    </r>
    <r>
      <rPr>
        <vertAlign val="superscript"/>
        <sz val="10"/>
        <color rgb="FF000000"/>
        <rFont val="PKO Bank Polski"/>
        <family val="2"/>
        <charset val="238"/>
      </rPr>
      <t>4)</t>
    </r>
  </si>
  <si>
    <t>Kredyty i pożyczki, brutto, Razem</t>
  </si>
  <si>
    <t>Pozycja "inne" obejmuje m.in. : koszty opłat poniesionych przez DM na rzecz GPW i KDPW, koszty usług rozliczeniowo-rozrachunkowych oraz koszty poniesione za zarządzanie aktywami.</t>
  </si>
  <si>
    <t>servicing and selling investment and insurance products (including and loan insurance)</t>
  </si>
  <si>
    <t>udzielania kredytów i pożyczek</t>
  </si>
  <si>
    <t>prowadzenia działalności maklerskiej i organizacji emisji</t>
  </si>
  <si>
    <t>obsługi masowych operacji zagranicznych</t>
  </si>
  <si>
    <t>obsługi i sprzedaży produktów inwestycyjno-ubezpieczeniowych; (w tym oferowanie produktów ubezpieczeniowych i ubezpieczenia kredytów)</t>
  </si>
  <si>
    <t>kart płatniczych i kredytowych</t>
  </si>
  <si>
    <t>Adekwatnosć kapitałowa</t>
  </si>
  <si>
    <t>Capital adequacy</t>
  </si>
  <si>
    <t>ROE netto w okresie</t>
  </si>
  <si>
    <t>ROE netto w ujeciu rocznym</t>
  </si>
  <si>
    <t>ROA netto w okresie</t>
  </si>
  <si>
    <t>ROA netto w ujęciu rocznym</t>
  </si>
  <si>
    <t>Marża odsetkowa w okresie</t>
  </si>
  <si>
    <t>Koszt ryzyka w okresie</t>
  </si>
  <si>
    <r>
      <t>Koszty/aktywa</t>
    </r>
    <r>
      <rPr>
        <vertAlign val="superscript"/>
        <sz val="10"/>
        <rFont val="PKO Bank Polski"/>
        <family val="2"/>
        <charset val="238"/>
      </rPr>
      <t>1)</t>
    </r>
  </si>
  <si>
    <t>Marża odsetkowa w ujęciu rocznym</t>
  </si>
  <si>
    <r>
      <t>Udział kredytów z rozpoznaną utratą wartości w kredytach brutto ogółem</t>
    </r>
    <r>
      <rPr>
        <vertAlign val="superscript"/>
        <sz val="10"/>
        <rFont val="PKO Bank Polski"/>
        <family val="2"/>
        <charset val="238"/>
      </rPr>
      <t>3)</t>
    </r>
  </si>
  <si>
    <r>
      <t>Kredyty netto/Stabilne źródła finansowania</t>
    </r>
    <r>
      <rPr>
        <vertAlign val="superscript"/>
        <sz val="10"/>
        <rFont val="PKO Bank Polski"/>
        <family val="2"/>
        <charset val="238"/>
      </rPr>
      <t>2)</t>
    </r>
  </si>
  <si>
    <t>bd</t>
  </si>
  <si>
    <t>małych i średnich przedsiębiorstw + klientów rynku mieszkaniowego (firm i przedsiębiorstw)</t>
  </si>
  <si>
    <t>small and medium enterprises + mortgage market clients (firms and undertakings)</t>
  </si>
  <si>
    <t>Wartość netto kredytów i pożyczek wycenianych według zamortyzowanego kosztu</t>
  </si>
  <si>
    <t>Net Interest Margin</t>
  </si>
  <si>
    <t>Net Interest Margin, quarterly</t>
  </si>
  <si>
    <t>ROE net, quarterly</t>
  </si>
  <si>
    <t>ROE net</t>
  </si>
  <si>
    <t>ROA net, quarterly</t>
  </si>
  <si>
    <t>ROA net</t>
  </si>
  <si>
    <t>Cost to Income Ratio, quarterly</t>
  </si>
  <si>
    <t>Cost to Income Ratio</t>
  </si>
  <si>
    <t>Cost of risk, quarterly</t>
  </si>
  <si>
    <t>Loans and advances to customers, gross/Amount due to customers</t>
  </si>
  <si>
    <t>Loans and advances granted, gross, of which:</t>
  </si>
  <si>
    <t>małych i średnich przedsiębiorstw (w tym klientów rynku mieszkaniowego)</t>
  </si>
  <si>
    <t>deposits of the Brokerage House of PKO Bank Polski SA in the Stock Exchange Guarantee
Fund</t>
  </si>
  <si>
    <t>debt securities (corporate)</t>
  </si>
  <si>
    <t>debt securities (municipal)</t>
  </si>
  <si>
    <t>Receivables due from repurchase agreements</t>
  </si>
  <si>
    <t>other receivables</t>
  </si>
  <si>
    <t>corporate loans (including international financial organizations)</t>
  </si>
  <si>
    <t>international financial organisations</t>
  </si>
  <si>
    <t>small and medium enterprises (including housing market clients)</t>
  </si>
  <si>
    <t>Impairment allowances, total</t>
  </si>
  <si>
    <t xml:space="preserve">Key financial data </t>
  </si>
  <si>
    <r>
      <t>Q1'09</t>
    </r>
    <r>
      <rPr>
        <b/>
        <vertAlign val="superscript"/>
        <sz val="11"/>
        <rFont val="PKO Bank Polski"/>
        <family val="2"/>
        <charset val="238"/>
      </rPr>
      <t>1)</t>
    </r>
  </si>
  <si>
    <r>
      <t>Q2'09</t>
    </r>
    <r>
      <rPr>
        <b/>
        <vertAlign val="superscript"/>
        <sz val="11"/>
        <rFont val="PKO Bank Polski"/>
        <family val="2"/>
        <charset val="238"/>
      </rPr>
      <t>1)</t>
    </r>
  </si>
  <si>
    <r>
      <t>Q3'09</t>
    </r>
    <r>
      <rPr>
        <b/>
        <vertAlign val="superscript"/>
        <sz val="11"/>
        <rFont val="PKO Bank Polski"/>
        <family val="2"/>
        <charset val="238"/>
      </rPr>
      <t>1)</t>
    </r>
  </si>
  <si>
    <r>
      <t>Q4'09</t>
    </r>
    <r>
      <rPr>
        <b/>
        <vertAlign val="superscript"/>
        <sz val="11"/>
        <rFont val="PKO Bank Polski"/>
        <family val="2"/>
        <charset val="238"/>
      </rPr>
      <t>1)</t>
    </r>
  </si>
  <si>
    <t>Loans and advances, gross</t>
  </si>
  <si>
    <t>Loans and advances not held for trading, measured at fair value through Profit or loss, net</t>
  </si>
  <si>
    <t>housing loans</t>
  </si>
  <si>
    <t>corporate loans</t>
  </si>
  <si>
    <t>Amounst due from banks</t>
  </si>
  <si>
    <t>Loans and advances granted</t>
  </si>
  <si>
    <t>Other receivables include non-current assets held for sale, tangible fixed assets, intangible asstes, inventories etc.</t>
  </si>
  <si>
    <t>Fee and commission income from:</t>
  </si>
  <si>
    <t>Przychody netto ze sprzedaży produktów, towarów i materiałów</t>
  </si>
  <si>
    <t>Wages and salaries</t>
  </si>
  <si>
    <t>inne (w tym fundusze inwestycyjne, emerytalne i działalność maklerska)</t>
  </si>
  <si>
    <t>Zobowiązania wobec klientów według segmentów klienta:</t>
  </si>
  <si>
    <t>Amounts due to customers by segment:</t>
  </si>
  <si>
    <t>Liabilities in respect of the short position in securities</t>
  </si>
  <si>
    <t>Zobowiązania z tytułu krótkiej pozycji w papierach wartościowych</t>
  </si>
  <si>
    <t>* The coverage ratio for impaired loans is calculated as the total write-off (both for impaired loans and IBNR) and the gross exposure amount for impaired loans.</t>
  </si>
  <si>
    <t>01.01.2018</t>
  </si>
  <si>
    <t>odsetki</t>
  </si>
  <si>
    <t>interest</t>
  </si>
  <si>
    <t>Według segmentów klienta:</t>
  </si>
  <si>
    <t>By customer segments:</t>
  </si>
  <si>
    <t xml:space="preserve"> Dłużne papiery wartościowe</t>
  </si>
  <si>
    <t xml:space="preserve"> Transakcje z przyrzeczeniem sprzedaży</t>
  </si>
  <si>
    <t xml:space="preserve"> Należności z tytułu leasingu finansowego</t>
  </si>
  <si>
    <t>Kredyty:</t>
  </si>
  <si>
    <t>Loans:</t>
  </si>
  <si>
    <t xml:space="preserve">  nieprzeznaczone do obrotu obowiązkowo wycenione do wartości godziwej przez RZiS</t>
  </si>
  <si>
    <t xml:space="preserve">  wycenone do wartośco godziwej przez inne dochody całkowite</t>
  </si>
  <si>
    <t xml:space="preserve">  not held for trading, mandatorily measured at fair value through profit or loss</t>
  </si>
  <si>
    <t xml:space="preserve">  at fair value through OCI</t>
  </si>
  <si>
    <t xml:space="preserve">  wycenione według zamortyzowanego kosztu</t>
  </si>
  <si>
    <t xml:space="preserve">  przeznaczone do obrotu</t>
  </si>
  <si>
    <t xml:space="preserve">  instrumenty finansowe przy początkowym ujęciu wyznaczone jako wyceniane do wartości godziwej przez RZiS</t>
  </si>
  <si>
    <t xml:space="preserve">  inwestycyjne papiery wartościowe dostępne do sprzedaży</t>
  </si>
  <si>
    <t xml:space="preserve">  inwestycyjne papiery wartościowe utrzymywane do terminu zapadalności</t>
  </si>
  <si>
    <t xml:space="preserve">  nieprzeznaczone do obrotu obowiązkowo wyceniane do wartości godziwej przez RZiS</t>
  </si>
  <si>
    <t xml:space="preserve">  desygnowane do wyceny do wartości godziwej przez RZiS (FVO)</t>
  </si>
  <si>
    <t xml:space="preserve">  wyceniane do wartości godziwej przez inne dochody całkowite</t>
  </si>
  <si>
    <t xml:space="preserve">  wyceniane według zamortyzowanego kosztu</t>
  </si>
  <si>
    <t xml:space="preserve">  financial instruments designated at fair value through profit or loss upon initial recognition</t>
  </si>
  <si>
    <t xml:space="preserve">  available-for-sale investment securities</t>
  </si>
  <si>
    <t xml:space="preserve">  investment securities held to maturity</t>
  </si>
  <si>
    <t xml:space="preserve">  designated at fair value through profit or loss (FVO)</t>
  </si>
  <si>
    <t xml:space="preserve">  wycenione do wartości godziwej przez inne dochody całkowite</t>
  </si>
  <si>
    <t xml:space="preserve">  wyceniane do wartości godziwej przez RZiS</t>
  </si>
  <si>
    <t>Inwestycyjne papiery wartosciowe</t>
  </si>
  <si>
    <t xml:space="preserve">           </t>
  </si>
  <si>
    <t>Adekwatność kapitałowa</t>
  </si>
  <si>
    <t>Niepodzielony wynik/zyski zatrzymane</t>
  </si>
  <si>
    <t>Adjustments in Tier 1 core capital due to prudential filters</t>
  </si>
  <si>
    <t>Niezrealizowane zyski na instrumentach dłużnych i kapitałowych zakwalifikowanych jako dostępne do sprzedaży (w części określonej przepisami aktualnymi na datę sprawozdawczą  - wartości przed opodatkowaniem)</t>
  </si>
  <si>
    <t>Unrealised profits on debt and equity instruments classified as available for sale (the part defined by current regulations as at the reporting date - pre-tax balance)</t>
  </si>
  <si>
    <t>Rachunek zysków i strat</t>
  </si>
  <si>
    <t>Income statement</t>
  </si>
  <si>
    <t>Rachunek zysków i strat Bankowości Detalicznej</t>
  </si>
  <si>
    <t>Rachunek zysków i strat Bankowości Korporacyjnej i Inwestycyjnej</t>
  </si>
  <si>
    <t>Income statement of Corporate and investment segment</t>
  </si>
  <si>
    <t>Wynik odsetkowy</t>
  </si>
  <si>
    <t>Income statement of Retail segment</t>
  </si>
  <si>
    <t>Kredyty i pożyczki udzielone klientom wg MSSF 9</t>
  </si>
  <si>
    <t>Kredyty i pożyczki udzielone klientom wg MSSR 39</t>
  </si>
  <si>
    <t>Loans and advances to customers under IFRS 9</t>
  </si>
  <si>
    <t>Loans and advances to customers under MSR 39</t>
  </si>
  <si>
    <t>Zobowiązania wobec klientów wg MSSF 9</t>
  </si>
  <si>
    <t>Zobowiązania wobec klientów wg MSR 39</t>
  </si>
  <si>
    <t>Laibilities due to customers under MSR 39</t>
  </si>
  <si>
    <t>Laibilities due to customers under IFRS 9</t>
  </si>
  <si>
    <t>Kredyty i pożyczki udzielone klientom wg MSR 39</t>
  </si>
  <si>
    <t>Loans and advances to customers under  MSR 39</t>
  </si>
  <si>
    <t>zobowązań wobec klientów i banków</t>
  </si>
  <si>
    <t>debt securities in issue and subordinated liabilities</t>
  </si>
  <si>
    <t>Amounts due to customers and banks</t>
  </si>
  <si>
    <t>Poprzednia struktura kosztów odsetkowych</t>
  </si>
  <si>
    <t>Previous structure of interest expenses</t>
  </si>
  <si>
    <t>SPIS TREŚCI:</t>
  </si>
  <si>
    <t>Wynik z tytułu odpisów aktualizujących z tytułu utraty wartości</t>
  </si>
  <si>
    <t>Kredyty i pożyczki udzielone klientom i należności od banków wyceniane wg zamortyzowanego kosztu</t>
  </si>
  <si>
    <t xml:space="preserve">Fundusze podstawowe (Tier 1) </t>
  </si>
  <si>
    <t>Table of contents:</t>
  </si>
  <si>
    <t>spis treści</t>
  </si>
  <si>
    <t>contents</t>
  </si>
  <si>
    <t xml:space="preserve">Podstawowe dane </t>
  </si>
  <si>
    <t>Key data</t>
  </si>
  <si>
    <t>Koszty/dochody (C/I)  w okresie</t>
  </si>
  <si>
    <t>Koszty/dochody (C/I)  w ujęciu rocznym</t>
  </si>
  <si>
    <r>
      <t>Koszt ryzyka</t>
    </r>
    <r>
      <rPr>
        <vertAlign val="superscript"/>
        <sz val="10"/>
        <rFont val="PKO Bank Polski"/>
        <family val="2"/>
        <charset val="238"/>
      </rPr>
      <t>5)</t>
    </r>
    <r>
      <rPr>
        <sz val="10"/>
        <rFont val="PKO Bank Polski"/>
        <family val="2"/>
        <charset val="238"/>
      </rPr>
      <t xml:space="preserve"> w ujęciu rocznym</t>
    </r>
  </si>
  <si>
    <t>11a</t>
  </si>
  <si>
    <t>9a</t>
  </si>
  <si>
    <t>10a</t>
  </si>
  <si>
    <t>* Pozycja „inne” obejmuje m.in.: koszty opłat poniesionych przez Dom Maklerski na rzecz GPW i KDPW oraz koszty poniesione za zarządzanie aktywami oraz usługi powiernicze.</t>
  </si>
  <si>
    <t>inne (w tym usługi powiernicze)*</t>
  </si>
  <si>
    <t>other (including fiduciary services)*</t>
  </si>
  <si>
    <t>*Included in ‘other’ are commissions of the Brokerage House of PKO Bank Polski SA for servicing Initial Public Offering issue and commissions for servicing indebtedness of borrowers against
the State budge and fiduciary services.</t>
  </si>
  <si>
    <t>Loans and advances to customers by method of calculating impairment allowances</t>
  </si>
  <si>
    <t>Included in "other" are i.a.:  accounting and clearing services, fee and expenses paid by the Brokerage House to Warsaw Stock Exchange and to the National Depository for Securities (KDPW) and expenses on asset management fees.</t>
  </si>
  <si>
    <t>Dane dla inwestorów i akcjonariuszy</t>
  </si>
  <si>
    <t>Wartość księgowa na akcję</t>
  </si>
  <si>
    <t>Investor &amp; Shareholder information</t>
  </si>
  <si>
    <t>Book value per share</t>
  </si>
  <si>
    <t>Number of shares  (mn)</t>
  </si>
  <si>
    <t>Liczba akcji  (mln)</t>
  </si>
  <si>
    <t>Share price at the end of the period</t>
  </si>
  <si>
    <t>Share price at the beginning of the period</t>
  </si>
  <si>
    <t xml:space="preserve">Kurs akcji  na koniec okresu </t>
  </si>
  <si>
    <t>Cena rynkowa akcji / wartość księgowa na akcję</t>
  </si>
  <si>
    <t>Market price of shares / book value per share</t>
  </si>
  <si>
    <t>Wartość księgowa (mln PLN)</t>
  </si>
  <si>
    <t>Book value (PLN mn)</t>
  </si>
  <si>
    <t>Dividend (PLN mn)</t>
  </si>
  <si>
    <t>Dividend per share</t>
  </si>
  <si>
    <t>Dywidenda na akcję</t>
  </si>
  <si>
    <t>Cena na D-day</t>
  </si>
  <si>
    <t>Price on D-day</t>
  </si>
  <si>
    <t>Dywidenda przypadająca na jedną akcję / cena rynkowa akcji</t>
  </si>
  <si>
    <t>Dividend per share / market price of a share</t>
  </si>
  <si>
    <t>Zysk netto do podziału (mln PLN)</t>
  </si>
  <si>
    <t>Dywidenda na jedną akcję/zysk netto na jedną akcję</t>
  </si>
  <si>
    <t>Dividend per share/ earnings per share</t>
  </si>
  <si>
    <t xml:space="preserve"> wycenianych wg zamortyzowanego kosztu</t>
  </si>
  <si>
    <t xml:space="preserve"> available for sale</t>
  </si>
  <si>
    <t xml:space="preserve"> kredyty i pożyczki otrzymane</t>
  </si>
  <si>
    <t xml:space="preserve"> amounts due to banks</t>
  </si>
  <si>
    <t xml:space="preserve"> amounts due to customers</t>
  </si>
  <si>
    <t xml:space="preserve"> debt securities available for sale</t>
  </si>
  <si>
    <t xml:space="preserve"> trading assets excluding derivative financial instruments</t>
  </si>
  <si>
    <t xml:space="preserve"> financial assets designated upon initial recognition at fair value through profit and loss</t>
  </si>
  <si>
    <t xml:space="preserve"> aktywów finansowych wyznaczonych przy początkowym ujęciu jako wyceniane do wartości godziwej przez rachunek zysków i strat</t>
  </si>
  <si>
    <t xml:space="preserve"> dłużnych papierów wartościowych dostępnych do sprzedaży</t>
  </si>
  <si>
    <t xml:space="preserve"> aktywów finansowych przeznaczonych do obrotu</t>
  </si>
  <si>
    <t xml:space="preserve">  loans and advances received</t>
  </si>
  <si>
    <t xml:space="preserve"> na fundusz przymusowej restrukturyzacji</t>
  </si>
  <si>
    <t xml:space="preserve"> na fundusz gwarancyjny banków</t>
  </si>
  <si>
    <t xml:space="preserve"> to the Resolution Fund</t>
  </si>
  <si>
    <t xml:space="preserve"> to the Banks' Guarantee Fund</t>
  </si>
  <si>
    <t xml:space="preserve"> składki na świadczenia emerytalne i rentowe</t>
  </si>
  <si>
    <t xml:space="preserve"> contributions for disability and retirement benefits</t>
  </si>
  <si>
    <t xml:space="preserve"> na ekspozycje z rozpoznaną utratą wartości</t>
  </si>
  <si>
    <t xml:space="preserve"> na ekspozycje bez rozpoznanej utraty wartości</t>
  </si>
  <si>
    <t>Wynagrodzenia</t>
  </si>
  <si>
    <t>Loans and advances to customers under MSSF 9</t>
  </si>
  <si>
    <t>Laibilities due to customers under MSSF 9</t>
  </si>
  <si>
    <t xml:space="preserve">  detaliczne</t>
  </si>
  <si>
    <t xml:space="preserve">  korporacyjne</t>
  </si>
  <si>
    <t xml:space="preserve">  retail</t>
  </si>
  <si>
    <t xml:space="preserve">  corporate</t>
  </si>
  <si>
    <t>*) W związku ze zmianą zasad rachunkowości w zakresie rozpoznawania przychodów i kosztów dotyczących produktów ubezpieczeniowych, dane za okresy poprzednie zostały przedstawione w ujęciu porównywalnym.</t>
  </si>
  <si>
    <t xml:space="preserve">
*) Due to the change in accounting rukes regarding the recognition of income and costs related to insurance products, data for previous periods have been restated for comparative purposes.</t>
  </si>
  <si>
    <r>
      <t>Pokrycie kredytów i pożyczek z rozpoznaną utratą wartości odpisami</t>
    </r>
    <r>
      <rPr>
        <vertAlign val="superscript"/>
        <sz val="10"/>
        <rFont val="PKO Bank Polski"/>
        <family val="2"/>
        <charset val="238"/>
      </rPr>
      <t>4)</t>
    </r>
  </si>
  <si>
    <t>3) Począwszy od 2018 roku wskaźnik udziału ekspozycji z rozpoznaną utratą wartości został wyznaczony dla kredytów i papierów wartościowych z wyłączeniem obligacji skarbowych wycenianych według zamortyzowanego kosztu jako wartość brutto ekspozycji z rozpoznaną utratą wartości do wartości brutto razem kredytów i papierów wartościowych z wyłączeniem obligacji skarbowych wycenianych według zamortyzowanego kosztu pomniejszonej na 01.01.2018 roku o wartość odsetek kontraktowych (niepracujących) objętych odpisem dla fazy 3.</t>
  </si>
  <si>
    <t>) Starting from 2018, the share of impaired loans was determined for loans and securities, excluding Treasury bonds, measured at amortized cost as the gross amount of impaired exposures to the total gross amount of loans and securities,
excluding Treasury bonds measured at amortized cost, less contractual (non-performing) interests as at 01.01.2018 covered by an impairment allowance for stage 3</t>
  </si>
  <si>
    <t>4) Począwszy od 2018 roku wskaźnik pokrycia kredytów z rozpoznaną utratą wartości został wyznaczony jako stosunek odpisów na oczekiwane straty kredytowe ogółem dla kredytów i papierów wartościowych z wyłączeniem obligacji skarbowych wycenianych według zamortyzowanego kosztu pomniejszonych na 01.01.2018 roku o odsetki kontraktowe (niepracujące) objęte odpisem dla fazy 3 do wartości brutto ekspozycji z tych portfeli z rozpoznaną utratą wartości</t>
  </si>
  <si>
    <t>4) Starting from 2018, the coverage ratio for impaired loans was determined as the ratio of total allowances for expected credit losses for loans and securities, excluding Treasury bonds measured at amortized cost, less contractual (nonperforming) interest as at 01.01.2018 covered by an impairment allowance for stage 3, to the gross amount of impaired exposures from these portfolios</t>
  </si>
  <si>
    <t>non restated</t>
  </si>
  <si>
    <t>nieprzekształcone</t>
  </si>
  <si>
    <t xml:space="preserve">  Przychody / koszty na rzecz
  klientów wewnętrznych</t>
  </si>
  <si>
    <t xml:space="preserve">  Zyski lub straty z tytułu zaprzestania ujmowania   aktywów i zobowiązań finansowych</t>
  </si>
  <si>
    <t>* Kredyty gospodarcze z uwzględnieniem transakcji z przyrzeczeniem odkupu oraz należnosci z tytułu leasingu finansowego</t>
  </si>
  <si>
    <t>corporate (including international financial institutions) , gross*</t>
  </si>
  <si>
    <t>* Corporate loans including receivables in respect of repurchase agreements and finance lease receivables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</si>
</sst>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_(* #,##0_);_(* \(#,##0\);_(* &quot;-&quot;??_);_(@_)"/>
    <numFmt numFmtId="166" formatCode="#,##0.0"/>
    <numFmt numFmtId="167" formatCode="_-* #,##0\ _z_ł_-;\-* #,##0\ _z_ł_-;_-* &quot;-&quot;??\ _z_ł_-;_-@_-"/>
    <numFmt numFmtId="168" formatCode="0.000%"/>
    <numFmt numFmtId="169" formatCode="0.0"/>
  </numFmts>
  <fonts count="108">
    <font>
      <sz val="10"/>
      <color rgb="FF00000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PKO Bank Polski Rg"/>
      <charset val="238"/>
    </font>
    <font>
      <b/>
      <sz val="11"/>
      <color rgb="FF000000"/>
      <name val="PKO Bank Polski Rg"/>
      <charset val="238"/>
    </font>
    <font>
      <sz val="10"/>
      <color rgb="FF000000"/>
      <name val="Arial"/>
      <family val="2"/>
      <charset val="238"/>
    </font>
    <font>
      <sz val="11"/>
      <color rgb="FF000000"/>
      <name val="Czcionka tekstu podstawowego"/>
    </font>
    <font>
      <sz val="11"/>
      <color rgb="FF000000"/>
      <name val="PKO Bank Polski Rg"/>
      <charset val="238"/>
    </font>
    <font>
      <sz val="8"/>
      <color rgb="FFFF0000"/>
      <name val="PKO Bank Polski Rg"/>
      <charset val="238"/>
    </font>
    <font>
      <sz val="10"/>
      <name val="Arial"/>
      <family val="2"/>
      <charset val="238"/>
    </font>
    <font>
      <sz val="10"/>
      <color rgb="FF000000"/>
      <name val="Arial"/>
      <family val="2"/>
      <charset val="238"/>
    </font>
    <font>
      <sz val="10"/>
      <color theme="1"/>
      <name val="PKO Bank Polski"/>
      <family val="2"/>
      <charset val="238"/>
    </font>
    <font>
      <sz val="10"/>
      <name val="PKO Bank Polski"/>
      <family val="2"/>
      <charset val="238"/>
    </font>
    <font>
      <b/>
      <sz val="10"/>
      <color theme="1"/>
      <name val="PKO Bank Polski"/>
      <family val="2"/>
      <charset val="238"/>
    </font>
    <font>
      <b/>
      <sz val="10"/>
      <name val="PKO Bank Polski"/>
      <family val="2"/>
      <charset val="238"/>
    </font>
    <font>
      <b/>
      <sz val="10"/>
      <color rgb="FFFF0000"/>
      <name val="PKO Bank Polski"/>
      <family val="2"/>
      <charset val="238"/>
    </font>
    <font>
      <sz val="10"/>
      <name val="PKO Bank Polski Rg"/>
      <charset val="238"/>
    </font>
    <font>
      <sz val="11"/>
      <name val="PKO Bank Polski"/>
      <family val="2"/>
      <charset val="238"/>
    </font>
    <font>
      <b/>
      <sz val="10"/>
      <color rgb="FF000000"/>
      <name val="Arial"/>
      <family val="2"/>
      <charset val="238"/>
    </font>
    <font>
      <sz val="10"/>
      <color rgb="FFFF0000"/>
      <name val="PKO Bank Polski"/>
      <family val="2"/>
      <charset val="238"/>
    </font>
    <font>
      <sz val="10"/>
      <color theme="1"/>
      <name val="PKO Bank Polski Rg"/>
      <charset val="238"/>
    </font>
    <font>
      <sz val="11"/>
      <color rgb="FF000000"/>
      <name val="PKO Bank Polski"/>
      <family val="2"/>
      <charset val="238"/>
    </font>
    <font>
      <sz val="10"/>
      <color rgb="FF000000"/>
      <name val="PKO Bank Polski"/>
      <family val="2"/>
      <charset val="238"/>
    </font>
    <font>
      <b/>
      <sz val="11"/>
      <color rgb="FF000000"/>
      <name val="PKO Bank Polski"/>
      <family val="2"/>
      <charset val="238"/>
    </font>
    <font>
      <b/>
      <sz val="10"/>
      <color rgb="FF000000"/>
      <name val="PKO Bank Polski"/>
      <family val="2"/>
      <charset val="238"/>
    </font>
    <font>
      <b/>
      <sz val="11"/>
      <name val="PKO Bank Polski"/>
      <family val="2"/>
      <charset val="238"/>
    </font>
    <font>
      <sz val="11"/>
      <color rgb="FFFF0000"/>
      <name val="PKO Bank Polski"/>
      <family val="2"/>
      <charset val="238"/>
    </font>
    <font>
      <sz val="11"/>
      <color indexed="8"/>
      <name val="PKO Bank Polski"/>
      <family val="2"/>
      <charset val="238"/>
    </font>
    <font>
      <i/>
      <sz val="10"/>
      <color rgb="FF000000"/>
      <name val="Arial"/>
      <family val="2"/>
      <charset val="238"/>
    </font>
    <font>
      <i/>
      <sz val="10"/>
      <color rgb="FF000000"/>
      <name val="PKO Bank Polski"/>
      <family val="2"/>
      <charset val="238"/>
    </font>
    <font>
      <i/>
      <sz val="10"/>
      <name val="PKO Bank Polski"/>
      <family val="2"/>
      <charset val="238"/>
    </font>
    <font>
      <i/>
      <sz val="10"/>
      <color theme="1"/>
      <name val="PKO Bank Polski"/>
      <family val="2"/>
      <charset val="238"/>
    </font>
    <font>
      <i/>
      <sz val="10"/>
      <color rgb="FFFF0000"/>
      <name val="PKO Bank Polski"/>
      <family val="2"/>
      <charset val="238"/>
    </font>
    <font>
      <i/>
      <sz val="10"/>
      <color indexed="8"/>
      <name val="PKO Bank Polski"/>
      <family val="2"/>
      <charset val="238"/>
    </font>
    <font>
      <sz val="11"/>
      <color rgb="FF000000"/>
      <name val="Arial"/>
      <family val="2"/>
      <charset val="238"/>
    </font>
    <font>
      <sz val="10"/>
      <color indexed="8"/>
      <name val="PKO Bank Polski"/>
      <family val="2"/>
      <charset val="238"/>
    </font>
    <font>
      <strike/>
      <sz val="10"/>
      <color rgb="FFFF0000"/>
      <name val="PKO Bank Polski"/>
      <family val="2"/>
      <charset val="238"/>
    </font>
    <font>
      <vertAlign val="superscript"/>
      <sz val="10"/>
      <name val="PKO Bank Polski"/>
      <family val="2"/>
      <charset val="238"/>
    </font>
    <font>
      <i/>
      <sz val="9"/>
      <color rgb="FF000000"/>
      <name val="PKO Bank Polski"/>
      <family val="2"/>
      <charset val="238"/>
    </font>
    <font>
      <b/>
      <sz val="10"/>
      <color indexed="8"/>
      <name val="PKO Bank Polski"/>
      <family val="2"/>
      <charset val="238"/>
    </font>
    <font>
      <sz val="11"/>
      <color rgb="FFFF0000"/>
      <name val="Arial"/>
      <family val="2"/>
      <charset val="238"/>
    </font>
    <font>
      <sz val="10"/>
      <color indexed="10"/>
      <name val="PKO Bank Polski"/>
      <family val="2"/>
      <charset val="238"/>
    </font>
    <font>
      <b/>
      <i/>
      <sz val="10"/>
      <color rgb="FF000000"/>
      <name val="Arial"/>
      <family val="2"/>
      <charset val="238"/>
    </font>
    <font>
      <b/>
      <sz val="11"/>
      <color indexed="8"/>
      <name val="PKO Bank Polski"/>
      <family val="2"/>
      <charset val="238"/>
    </font>
    <font>
      <b/>
      <sz val="11"/>
      <color rgb="FF000000"/>
      <name val="Arial"/>
      <family val="2"/>
      <charset val="238"/>
    </font>
    <font>
      <i/>
      <sz val="9"/>
      <color theme="1"/>
      <name val="PKO Bank Polski"/>
      <family val="2"/>
      <charset val="238"/>
    </font>
    <font>
      <i/>
      <sz val="9"/>
      <name val="PKO Bank Polski"/>
      <family val="2"/>
      <charset val="238"/>
    </font>
    <font>
      <b/>
      <sz val="10"/>
      <color theme="0" tint="-0.499984740745262"/>
      <name val="PKO Bank Polski"/>
      <family val="2"/>
      <charset val="238"/>
    </font>
    <font>
      <sz val="11"/>
      <color theme="0" tint="-0.499984740745262"/>
      <name val="PKO Bank Polski"/>
      <family val="2"/>
      <charset val="238"/>
    </font>
    <font>
      <b/>
      <i/>
      <sz val="9"/>
      <color rgb="FF000000"/>
      <name val="PKO Bank Polski"/>
      <family val="2"/>
      <charset val="238"/>
    </font>
    <font>
      <sz val="9"/>
      <color rgb="FF000000"/>
      <name val="PKO Bank Polski"/>
      <family val="2"/>
      <charset val="238"/>
    </font>
    <font>
      <i/>
      <sz val="10"/>
      <color theme="0" tint="-0.499984740745262"/>
      <name val="PKO Bank Polski"/>
      <family val="2"/>
      <charset val="238"/>
    </font>
    <font>
      <i/>
      <sz val="9"/>
      <color theme="0" tint="-0.499984740745262"/>
      <name val="PKO Bank Polski"/>
      <family val="2"/>
      <charset val="238"/>
    </font>
    <font>
      <b/>
      <sz val="11"/>
      <color theme="1"/>
      <name val="PKO Bank Polski"/>
      <family val="2"/>
      <charset val="238"/>
    </font>
    <font>
      <i/>
      <sz val="11"/>
      <color rgb="FF000000"/>
      <name val="PKO Bank Polski"/>
      <family val="2"/>
      <charset val="238"/>
    </font>
    <font>
      <b/>
      <i/>
      <sz val="9"/>
      <color theme="0" tint="-0.499984740745262"/>
      <name val="PKO Bank Polski"/>
      <family val="2"/>
      <charset val="238"/>
    </font>
    <font>
      <i/>
      <sz val="9"/>
      <color rgb="FFC00000"/>
      <name val="PKO Bank Polski"/>
      <family val="2"/>
      <charset val="238"/>
    </font>
    <font>
      <sz val="8"/>
      <color rgb="FF000000"/>
      <name val="Arial"/>
      <family val="2"/>
      <charset val="238"/>
    </font>
    <font>
      <sz val="10"/>
      <color rgb="FFE4202C"/>
      <name val="PKO Bank Polski"/>
      <family val="2"/>
      <charset val="238"/>
    </font>
    <font>
      <sz val="9"/>
      <color indexed="10"/>
      <name val="PKO Bank Polski"/>
      <family val="2"/>
      <charset val="238"/>
    </font>
    <font>
      <sz val="9"/>
      <color rgb="FF000000"/>
      <name val="Arial"/>
      <family val="2"/>
      <charset val="238"/>
    </font>
    <font>
      <i/>
      <sz val="9"/>
      <color indexed="8"/>
      <name val="PKO Bank Polski"/>
      <family val="2"/>
      <charset val="238"/>
    </font>
    <font>
      <b/>
      <i/>
      <sz val="11"/>
      <color rgb="FF000000"/>
      <name val="PKO Bank Polski"/>
      <family val="2"/>
      <charset val="238"/>
    </font>
    <font>
      <i/>
      <sz val="9"/>
      <color theme="1" tint="4.9989318521683403E-2"/>
      <name val="PKO Bank Polski"/>
      <family val="2"/>
      <charset val="238"/>
    </font>
    <font>
      <i/>
      <sz val="9"/>
      <color theme="0" tint="-0.499984740745262"/>
      <name val="Arial"/>
      <family val="2"/>
      <charset val="238"/>
    </font>
    <font>
      <i/>
      <sz val="9"/>
      <color rgb="FF000000"/>
      <name val="PKO Bank Polski Rg"/>
      <charset val="238"/>
    </font>
    <font>
      <sz val="9"/>
      <color rgb="FFFF0000"/>
      <name val="PKO Bank Polski"/>
      <family val="2"/>
      <charset val="238"/>
    </font>
    <font>
      <sz val="10"/>
      <name val="PKO Bank Polski Rg"/>
      <family val="2"/>
      <charset val="238"/>
    </font>
    <font>
      <i/>
      <vertAlign val="superscript"/>
      <sz val="9"/>
      <color indexed="8"/>
      <name val="PKO Bank Polski"/>
      <family val="2"/>
      <charset val="238"/>
    </font>
    <font>
      <b/>
      <sz val="10"/>
      <name val="PKO Bank Polski Rg"/>
      <family val="2"/>
      <charset val="238"/>
    </font>
    <font>
      <b/>
      <sz val="11"/>
      <name val="PKO Bank Polski Rg"/>
      <family val="2"/>
      <charset val="238"/>
    </font>
    <font>
      <b/>
      <i/>
      <sz val="10"/>
      <color rgb="FF000000"/>
      <name val="PKO Bank Polski"/>
      <family val="2"/>
      <charset val="238"/>
    </font>
    <font>
      <vertAlign val="superscript"/>
      <sz val="10"/>
      <color rgb="FF000000"/>
      <name val="PKO Bank Polski"/>
      <family val="2"/>
      <charset val="238"/>
    </font>
    <font>
      <i/>
      <sz val="8"/>
      <color theme="0" tint="-0.499984740745262"/>
      <name val="PKO Bank Polski"/>
      <family val="2"/>
      <charset val="238"/>
    </font>
    <font>
      <i/>
      <sz val="10"/>
      <color rgb="FFE4202C"/>
      <name val="PKO Bank Polski"/>
      <family val="2"/>
      <charset val="238"/>
    </font>
    <font>
      <sz val="9"/>
      <color theme="0" tint="-0.499984740745262"/>
      <name val="PKO Bank Polski"/>
      <family val="2"/>
      <charset val="238"/>
    </font>
    <font>
      <i/>
      <sz val="11"/>
      <color theme="0" tint="-0.499984740745262"/>
      <name val="PKO Bank Polski"/>
      <family val="2"/>
      <charset val="238"/>
    </font>
    <font>
      <sz val="8"/>
      <color rgb="FF000000"/>
      <name val="PKO Bank Polski"/>
      <family val="2"/>
      <charset val="238"/>
    </font>
    <font>
      <sz val="8"/>
      <color rgb="FFFF0000"/>
      <name val="PKO Bank Polski"/>
      <family val="2"/>
      <charset val="238"/>
    </font>
    <font>
      <sz val="10"/>
      <color theme="0"/>
      <name val="PKO Bank Polski"/>
      <family val="2"/>
      <charset val="238"/>
    </font>
    <font>
      <sz val="11"/>
      <color rgb="FFC00000"/>
      <name val="PKO Bank Polski"/>
      <family val="2"/>
      <charset val="238"/>
    </font>
    <font>
      <b/>
      <vertAlign val="superscript"/>
      <sz val="11"/>
      <name val="PKO Bank Polski"/>
      <family val="2"/>
      <charset val="238"/>
    </font>
    <font>
      <sz val="10"/>
      <color rgb="FFFF0000"/>
      <name val="PKO Bank Polski Rg"/>
      <charset val="238"/>
    </font>
    <font>
      <i/>
      <sz val="9"/>
      <color rgb="FFFF0000"/>
      <name val="PKO Bank Polski"/>
      <family val="2"/>
      <charset val="238"/>
    </font>
    <font>
      <i/>
      <sz val="8"/>
      <color rgb="FFFF0000"/>
      <name val="PKO Bank Polski"/>
      <family val="2"/>
      <charset val="238"/>
    </font>
    <font>
      <b/>
      <sz val="11"/>
      <color rgb="FFFF0000"/>
      <name val="PKO Bank Polski"/>
      <family val="2"/>
      <charset val="238"/>
    </font>
    <font>
      <i/>
      <sz val="11"/>
      <color rgb="FFFF0000"/>
      <name val="PKO Bank Polski"/>
      <family val="2"/>
      <charset val="238"/>
    </font>
    <font>
      <sz val="9"/>
      <color rgb="FFFF0000"/>
      <name val="PKO Bank Polski Rg"/>
      <charset val="238"/>
    </font>
    <font>
      <sz val="9"/>
      <name val="PKO Bank Polski"/>
      <family val="2"/>
      <charset val="238"/>
    </font>
    <font>
      <i/>
      <sz val="11"/>
      <color theme="0" tint="-0.34998626667073579"/>
      <name val="PKO Bank Polski"/>
      <family val="2"/>
      <charset val="238"/>
    </font>
    <font>
      <sz val="11"/>
      <color theme="1"/>
      <name val="PKO Bank Polski"/>
      <family val="2"/>
      <charset val="238"/>
    </font>
    <font>
      <sz val="9"/>
      <color theme="1"/>
      <name val="PKO Bank Polski"/>
      <family val="2"/>
      <charset val="238"/>
    </font>
    <font>
      <i/>
      <sz val="9"/>
      <color theme="0" tint="-0.34998626667073579"/>
      <name val="PKO Bank Polski"/>
      <family val="2"/>
      <charset val="238"/>
    </font>
    <font>
      <u/>
      <sz val="10"/>
      <color indexed="12"/>
      <name val="Arial CE"/>
      <charset val="238"/>
    </font>
    <font>
      <sz val="12"/>
      <color indexed="8"/>
      <name val="PKO Bank Polski"/>
      <family val="2"/>
      <charset val="238"/>
    </font>
    <font>
      <sz val="12"/>
      <color rgb="FF000000"/>
      <name val="PKO Bank Polski"/>
      <family val="2"/>
      <charset val="238"/>
    </font>
    <font>
      <u/>
      <sz val="12"/>
      <color indexed="8"/>
      <name val="PKO Bank Polski"/>
      <family val="2"/>
      <charset val="238"/>
    </font>
    <font>
      <sz val="10"/>
      <color theme="0" tint="-0.499984740745262"/>
      <name val="Arial"/>
      <family val="2"/>
      <charset val="238"/>
    </font>
    <font>
      <sz val="8"/>
      <name val="PKO Bank Polski"/>
      <family val="2"/>
      <charset val="238"/>
    </font>
    <font>
      <b/>
      <sz val="10"/>
      <color theme="1" tint="4.9989318521683403E-2"/>
      <name val="PKO Bank Polski"/>
      <family val="2"/>
      <charset val="238"/>
    </font>
    <font>
      <i/>
      <sz val="8"/>
      <color rgb="FF000000"/>
      <name val="PKO Bank Polski"/>
      <family val="2"/>
      <charset val="238"/>
    </font>
    <font>
      <i/>
      <sz val="8"/>
      <name val="PKO Bank Polski"/>
      <family val="2"/>
      <charset val="238"/>
    </font>
    <font>
      <u/>
      <sz val="11"/>
      <color indexed="12"/>
      <name val="Arial CE"/>
      <charset val="238"/>
    </font>
  </fonts>
  <fills count="9">
    <fill>
      <patternFill patternType="none"/>
    </fill>
    <fill>
      <patternFill patternType="gray125"/>
    </fill>
    <fill>
      <patternFill patternType="solid">
        <fgColor rgb="FFF2DBDB"/>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rgb="FFB7B7B7"/>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rgb="FFFF9933"/>
      </right>
      <top/>
      <bottom/>
      <diagonal/>
    </border>
    <border>
      <left style="thin">
        <color rgb="FF8A8A8A"/>
      </left>
      <right/>
      <top style="medium">
        <color rgb="FF8A8A8A"/>
      </top>
      <bottom style="medium">
        <color rgb="FF8A8A8A"/>
      </bottom>
      <diagonal/>
    </border>
    <border>
      <left/>
      <right/>
      <top style="medium">
        <color rgb="FF8A8A8A"/>
      </top>
      <bottom style="medium">
        <color rgb="FF8A8A8A"/>
      </bottom>
      <diagonal/>
    </border>
    <border>
      <left/>
      <right style="thin">
        <color rgb="FF8A8A8A"/>
      </right>
      <top style="medium">
        <color rgb="FF8A8A8A"/>
      </top>
      <bottom style="medium">
        <color rgb="FF8A8A8A"/>
      </bottom>
      <diagonal/>
    </border>
    <border>
      <left style="thin">
        <color rgb="FF8A8A8A"/>
      </left>
      <right/>
      <top style="medium">
        <color rgb="FF8A8A8A"/>
      </top>
      <bottom style="thin">
        <color rgb="FF8A8A8A"/>
      </bottom>
      <diagonal/>
    </border>
    <border>
      <left/>
      <right/>
      <top style="medium">
        <color rgb="FF8A8A8A"/>
      </top>
      <bottom style="thin">
        <color rgb="FF8A8A8A"/>
      </bottom>
      <diagonal/>
    </border>
    <border>
      <left style="thin">
        <color rgb="FF8A8A8A"/>
      </left>
      <right/>
      <top style="thin">
        <color rgb="FF8A8A8A"/>
      </top>
      <bottom style="thin">
        <color rgb="FF8A8A8A"/>
      </bottom>
      <diagonal/>
    </border>
    <border>
      <left/>
      <right/>
      <top style="thin">
        <color rgb="FF8A8A8A"/>
      </top>
      <bottom style="thin">
        <color rgb="FF8A8A8A"/>
      </bottom>
      <diagonal/>
    </border>
    <border>
      <left/>
      <right style="thin">
        <color rgb="FF8A8A8A"/>
      </right>
      <top style="thin">
        <color rgb="FF8A8A8A"/>
      </top>
      <bottom style="thin">
        <color rgb="FF8A8A8A"/>
      </bottom>
      <diagonal/>
    </border>
    <border>
      <left style="thin">
        <color rgb="FF8A8A8A"/>
      </left>
      <right/>
      <top/>
      <bottom style="thin">
        <color rgb="FF8A8A8A"/>
      </bottom>
      <diagonal/>
    </border>
    <border>
      <left/>
      <right/>
      <top/>
      <bottom style="thin">
        <color rgb="FF8A8A8A"/>
      </bottom>
      <diagonal/>
    </border>
    <border>
      <left/>
      <right style="thin">
        <color rgb="FF8A8A8A"/>
      </right>
      <top/>
      <bottom style="thin">
        <color rgb="FF8A8A8A"/>
      </bottom>
      <diagonal/>
    </border>
    <border>
      <left style="medium">
        <color rgb="FF8A8A8A"/>
      </left>
      <right/>
      <top style="medium">
        <color rgb="FF8A8A8A"/>
      </top>
      <bottom style="medium">
        <color rgb="FF8A8A8A"/>
      </bottom>
      <diagonal/>
    </border>
    <border>
      <left/>
      <right style="medium">
        <color rgb="FF8A8A8A"/>
      </right>
      <top style="medium">
        <color rgb="FF8A8A8A"/>
      </top>
      <bottom style="medium">
        <color rgb="FF8A8A8A"/>
      </bottom>
      <diagonal/>
    </border>
    <border>
      <left/>
      <right/>
      <top style="medium">
        <color rgb="FF8A8A8A"/>
      </top>
      <bottom/>
      <diagonal/>
    </border>
    <border>
      <left/>
      <right style="medium">
        <color rgb="FF8A8A8A"/>
      </right>
      <top style="medium">
        <color rgb="FF8A8A8A"/>
      </top>
      <bottom/>
      <diagonal/>
    </border>
    <border>
      <left/>
      <right style="medium">
        <color rgb="FF8A8A8A"/>
      </right>
      <top/>
      <bottom/>
      <diagonal/>
    </border>
    <border>
      <left style="medium">
        <color rgb="FF8A8A8A"/>
      </left>
      <right/>
      <top/>
      <bottom style="medium">
        <color rgb="FF8A8A8A"/>
      </bottom>
      <diagonal/>
    </border>
    <border>
      <left/>
      <right/>
      <top/>
      <bottom style="medium">
        <color rgb="FF8A8A8A"/>
      </bottom>
      <diagonal/>
    </border>
    <border>
      <left/>
      <right style="medium">
        <color rgb="FF8A8A8A"/>
      </right>
      <top/>
      <bottom style="medium">
        <color rgb="FF8A8A8A"/>
      </bottom>
      <diagonal/>
    </border>
    <border>
      <left style="thin">
        <color rgb="FF8A8A8A"/>
      </left>
      <right/>
      <top style="thin">
        <color rgb="FF8A8A8A"/>
      </top>
      <bottom/>
      <diagonal/>
    </border>
    <border>
      <left/>
      <right/>
      <top style="thin">
        <color rgb="FF8A8A8A"/>
      </top>
      <bottom/>
      <diagonal/>
    </border>
    <border>
      <left/>
      <right style="thin">
        <color rgb="FF8A8A8A"/>
      </right>
      <top style="thin">
        <color rgb="FF8A8A8A"/>
      </top>
      <bottom/>
      <diagonal/>
    </border>
    <border>
      <left/>
      <right style="thin">
        <color rgb="FF8A8A8A"/>
      </right>
      <top/>
      <bottom style="medium">
        <color rgb="FF8A8A8A"/>
      </bottom>
      <diagonal/>
    </border>
    <border>
      <left/>
      <right style="thin">
        <color rgb="FF8A8A8A"/>
      </right>
      <top/>
      <bottom/>
      <diagonal/>
    </border>
    <border>
      <left style="thin">
        <color rgb="FF8A8A8A"/>
      </left>
      <right/>
      <top/>
      <bottom/>
      <diagonal/>
    </border>
    <border>
      <left style="medium">
        <color rgb="FF8A8A8A"/>
      </left>
      <right/>
      <top style="medium">
        <color rgb="FF8A8A8A"/>
      </top>
      <bottom/>
      <diagonal/>
    </border>
    <border>
      <left style="medium">
        <color rgb="FF8A8A8A"/>
      </left>
      <right/>
      <top/>
      <bottom/>
      <diagonal/>
    </border>
  </borders>
  <cellStyleXfs count="185">
    <xf numFmtId="0" fontId="0" fillId="0" borderId="0"/>
    <xf numFmtId="9" fontId="15" fillId="0" borderId="0" applyFont="0" applyFill="0" applyBorder="0" applyAlignment="0" applyProtection="0"/>
    <xf numFmtId="0" fontId="7" fillId="0" borderId="0"/>
    <xf numFmtId="0" fontId="14" fillId="0" borderId="0"/>
    <xf numFmtId="0" fontId="14" fillId="0" borderId="0"/>
    <xf numFmtId="0" fontId="14" fillId="0" borderId="0"/>
    <xf numFmtId="9" fontId="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6" fillId="0" borderId="0"/>
    <xf numFmtId="0" fontId="98" fillId="0" borderId="0" applyNumberFormat="0" applyFill="0" applyBorder="0" applyAlignment="0" applyProtection="0">
      <alignment vertical="top"/>
      <protection locked="0"/>
    </xf>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4" fillId="0" borderId="0"/>
    <xf numFmtId="0" fontId="4" fillId="0" borderId="0"/>
    <xf numFmtId="0" fontId="10" fillId="0" borderId="0"/>
    <xf numFmtId="0" fontId="10" fillId="0" borderId="0"/>
    <xf numFmtId="9" fontId="4" fillId="0" borderId="0" applyFont="0" applyFill="0" applyBorder="0" applyAlignment="0" applyProtection="0"/>
    <xf numFmtId="0" fontId="10" fillId="0" borderId="0"/>
    <xf numFmtId="0" fontId="4" fillId="0" borderId="0"/>
    <xf numFmtId="0" fontId="4" fillId="0" borderId="0"/>
    <xf numFmtId="0" fontId="4" fillId="0" borderId="0"/>
    <xf numFmtId="0" fontId="4" fillId="0" borderId="0"/>
    <xf numFmtId="0" fontId="10" fillId="0" borderId="0"/>
    <xf numFmtId="9" fontId="1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55">
    <xf numFmtId="0" fontId="0" fillId="0" borderId="0" xfId="0" applyAlignment="1">
      <alignment wrapText="1"/>
    </xf>
    <xf numFmtId="0" fontId="12" fillId="0" borderId="0" xfId="0" applyFont="1" applyAlignment="1">
      <alignment vertical="center"/>
    </xf>
    <xf numFmtId="0" fontId="10" fillId="0" borderId="0" xfId="0" applyFont="1" applyAlignment="1">
      <alignment wrapText="1"/>
    </xf>
    <xf numFmtId="0" fontId="26" fillId="0" borderId="0" xfId="0" applyFont="1" applyAlignment="1">
      <alignment vertical="center"/>
    </xf>
    <xf numFmtId="0" fontId="26" fillId="3" borderId="0" xfId="0" applyFont="1" applyFill="1" applyAlignment="1">
      <alignment vertical="center"/>
    </xf>
    <xf numFmtId="0" fontId="27" fillId="3" borderId="0" xfId="0" applyFont="1" applyFill="1" applyAlignment="1">
      <alignment wrapText="1"/>
    </xf>
    <xf numFmtId="3" fontId="26" fillId="3" borderId="0" xfId="0" applyNumberFormat="1" applyFont="1" applyFill="1" applyAlignment="1">
      <alignment vertical="center"/>
    </xf>
    <xf numFmtId="3" fontId="27" fillId="3" borderId="0" xfId="0" applyNumberFormat="1" applyFont="1" applyFill="1" applyAlignment="1">
      <alignment wrapText="1"/>
    </xf>
    <xf numFmtId="0" fontId="29" fillId="3" borderId="0" xfId="0" applyFont="1" applyFill="1" applyAlignment="1">
      <alignment vertical="center"/>
    </xf>
    <xf numFmtId="0" fontId="16" fillId="0" borderId="0" xfId="0" applyFont="1" applyFill="1" applyAlignment="1">
      <alignment wrapText="1"/>
    </xf>
    <xf numFmtId="0" fontId="27" fillId="3" borderId="0" xfId="0" applyFont="1" applyFill="1" applyAlignment="1">
      <alignment vertical="center"/>
    </xf>
    <xf numFmtId="0" fontId="27" fillId="0" borderId="0" xfId="0" applyFont="1" applyAlignment="1">
      <alignment vertical="center"/>
    </xf>
    <xf numFmtId="0" fontId="26" fillId="3" borderId="0" xfId="0" applyFont="1" applyFill="1" applyAlignment="1">
      <alignment wrapText="1"/>
    </xf>
    <xf numFmtId="3" fontId="26" fillId="3" borderId="0" xfId="0" applyNumberFormat="1" applyFont="1" applyFill="1" applyAlignment="1">
      <alignment wrapText="1"/>
    </xf>
    <xf numFmtId="0" fontId="28" fillId="0" borderId="0" xfId="0" applyFont="1" applyAlignment="1">
      <alignment horizontal="center" vertical="center" wrapText="1"/>
    </xf>
    <xf numFmtId="0" fontId="31" fillId="0" borderId="0" xfId="0" applyFont="1" applyAlignment="1">
      <alignment horizontal="center"/>
    </xf>
    <xf numFmtId="0" fontId="28" fillId="3" borderId="0" xfId="0" applyFont="1" applyFill="1" applyAlignment="1">
      <alignment vertical="center"/>
    </xf>
    <xf numFmtId="0" fontId="28" fillId="3" borderId="0" xfId="0" applyFont="1" applyFill="1" applyAlignment="1">
      <alignment wrapText="1"/>
    </xf>
    <xf numFmtId="0" fontId="26" fillId="0" borderId="0" xfId="0" applyFont="1" applyAlignment="1">
      <alignment vertical="center" wrapText="1"/>
    </xf>
    <xf numFmtId="0" fontId="27" fillId="0" borderId="0" xfId="0" applyFont="1" applyFill="1" applyAlignment="1">
      <alignment wrapText="1"/>
    </xf>
    <xf numFmtId="0" fontId="34" fillId="0" borderId="0" xfId="0" applyFont="1" applyFill="1" applyAlignment="1">
      <alignment wrapText="1"/>
    </xf>
    <xf numFmtId="0" fontId="24" fillId="0" borderId="0" xfId="0" applyFont="1" applyFill="1" applyAlignment="1">
      <alignment wrapText="1"/>
    </xf>
    <xf numFmtId="0" fontId="37" fillId="0" borderId="0" xfId="0" applyFont="1" applyFill="1" applyAlignment="1">
      <alignment wrapText="1"/>
    </xf>
    <xf numFmtId="0" fontId="29" fillId="0" borderId="0" xfId="0" applyFont="1" applyFill="1" applyAlignment="1">
      <alignment vertical="center"/>
    </xf>
    <xf numFmtId="0" fontId="27" fillId="0" borderId="0" xfId="0" applyFont="1" applyFill="1" applyAlignment="1">
      <alignment vertical="center"/>
    </xf>
    <xf numFmtId="0" fontId="24" fillId="0" borderId="0" xfId="0" applyFont="1" applyAlignment="1">
      <alignment horizontal="center"/>
    </xf>
    <xf numFmtId="0" fontId="34" fillId="3" borderId="0" xfId="0" applyFont="1" applyFill="1" applyAlignment="1">
      <alignment wrapText="1"/>
    </xf>
    <xf numFmtId="0" fontId="34" fillId="3" borderId="0" xfId="0" applyFont="1" applyFill="1" applyAlignment="1">
      <alignment vertical="center"/>
    </xf>
    <xf numFmtId="0" fontId="36" fillId="0" borderId="0" xfId="0" applyFont="1" applyFill="1" applyAlignment="1">
      <alignment wrapText="1"/>
    </xf>
    <xf numFmtId="0" fontId="43" fillId="3" borderId="0" xfId="0" applyFont="1" applyFill="1" applyAlignment="1">
      <alignment wrapText="1"/>
    </xf>
    <xf numFmtId="0" fontId="39" fillId="0" borderId="0" xfId="0" applyFont="1" applyAlignment="1">
      <alignment wrapText="1"/>
    </xf>
    <xf numFmtId="0" fontId="39" fillId="3" borderId="0" xfId="0" applyFont="1" applyFill="1" applyAlignment="1">
      <alignment wrapText="1"/>
    </xf>
    <xf numFmtId="0" fontId="33" fillId="0" borderId="0" xfId="0" applyFont="1" applyAlignment="1">
      <alignment wrapText="1"/>
    </xf>
    <xf numFmtId="0" fontId="27" fillId="0" borderId="0" xfId="0" applyFont="1" applyAlignment="1">
      <alignment wrapText="1"/>
    </xf>
    <xf numFmtId="0" fontId="14" fillId="0" borderId="0" xfId="0" applyFont="1" applyAlignment="1">
      <alignment wrapText="1"/>
    </xf>
    <xf numFmtId="0" fontId="28" fillId="0" borderId="0" xfId="0" applyFont="1" applyAlignment="1">
      <alignment vertical="center"/>
    </xf>
    <xf numFmtId="0" fontId="27" fillId="0" borderId="0" xfId="0" applyFont="1" applyAlignment="1">
      <alignment vertical="center" wrapText="1"/>
    </xf>
    <xf numFmtId="0" fontId="10" fillId="0" borderId="0" xfId="0" applyFont="1" applyFill="1" applyAlignment="1">
      <alignment wrapText="1"/>
    </xf>
    <xf numFmtId="0" fontId="10" fillId="0" borderId="0" xfId="0" applyFont="1" applyFill="1" applyBorder="1" applyAlignment="1">
      <alignment wrapText="1"/>
    </xf>
    <xf numFmtId="0" fontId="26" fillId="0" borderId="0" xfId="0" applyFont="1" applyAlignment="1">
      <alignment wrapText="1"/>
    </xf>
    <xf numFmtId="0" fontId="23" fillId="0" borderId="0" xfId="0" applyFont="1" applyAlignment="1">
      <alignment wrapText="1"/>
    </xf>
    <xf numFmtId="0" fontId="47" fillId="0" borderId="0" xfId="0" applyFont="1" applyAlignment="1">
      <alignment wrapText="1"/>
    </xf>
    <xf numFmtId="0" fontId="49" fillId="0" borderId="0" xfId="0" applyFont="1" applyAlignment="1">
      <alignment wrapText="1"/>
    </xf>
    <xf numFmtId="0" fontId="14" fillId="0" borderId="0" xfId="0" applyFont="1" applyFill="1" applyAlignment="1">
      <alignment wrapText="1"/>
    </xf>
    <xf numFmtId="0" fontId="29" fillId="0" borderId="0" xfId="0" applyFont="1" applyFill="1" applyAlignment="1">
      <alignment wrapText="1"/>
    </xf>
    <xf numFmtId="0" fontId="28" fillId="0" borderId="0" xfId="0" applyFont="1" applyFill="1" applyBorder="1" applyAlignment="1">
      <alignment horizontal="center" vertical="center"/>
    </xf>
    <xf numFmtId="0" fontId="19" fillId="0" borderId="0" xfId="8" applyNumberFormat="1" applyFont="1" applyFill="1" applyBorder="1" applyAlignment="1">
      <alignment horizontal="center" vertical="center" wrapText="1"/>
    </xf>
    <xf numFmtId="0" fontId="10" fillId="0" borderId="0" xfId="0" applyFont="1" applyFill="1" applyBorder="1" applyAlignment="1">
      <alignment horizontal="center" wrapText="1"/>
    </xf>
    <xf numFmtId="0" fontId="26" fillId="0" borderId="0" xfId="0" applyFont="1" applyFill="1" applyAlignment="1">
      <alignment wrapText="1"/>
    </xf>
    <xf numFmtId="0" fontId="43" fillId="0" borderId="0" xfId="0" applyFont="1" applyFill="1" applyAlignment="1">
      <alignment wrapText="1"/>
    </xf>
    <xf numFmtId="0" fontId="43" fillId="0" borderId="0" xfId="0" applyFont="1" applyFill="1" applyAlignment="1">
      <alignment vertical="center"/>
    </xf>
    <xf numFmtId="3" fontId="27" fillId="3" borderId="0" xfId="0" applyNumberFormat="1" applyFont="1" applyFill="1" applyAlignment="1">
      <alignment vertical="center"/>
    </xf>
    <xf numFmtId="0" fontId="17" fillId="0" borderId="0" xfId="0" applyFont="1" applyAlignment="1">
      <alignment vertical="center"/>
    </xf>
    <xf numFmtId="0" fontId="17" fillId="3" borderId="0" xfId="0" applyFont="1" applyFill="1" applyAlignment="1">
      <alignment wrapText="1"/>
    </xf>
    <xf numFmtId="0" fontId="28" fillId="0" borderId="0" xfId="0" applyFont="1" applyAlignment="1">
      <alignment wrapText="1"/>
    </xf>
    <xf numFmtId="0" fontId="29" fillId="0" borderId="0" xfId="0" applyFont="1" applyAlignment="1">
      <alignment wrapText="1"/>
    </xf>
    <xf numFmtId="0" fontId="55" fillId="3" borderId="0" xfId="0" applyFont="1" applyFill="1" applyAlignment="1">
      <alignment wrapText="1"/>
    </xf>
    <xf numFmtId="3" fontId="56" fillId="3" borderId="0" xfId="0" applyNumberFormat="1" applyFont="1" applyFill="1" applyAlignment="1">
      <alignment wrapText="1"/>
    </xf>
    <xf numFmtId="0" fontId="56" fillId="3" borderId="0" xfId="0" applyFont="1" applyFill="1" applyAlignment="1">
      <alignment wrapText="1"/>
    </xf>
    <xf numFmtId="0" fontId="57" fillId="0" borderId="0" xfId="0" applyFont="1" applyAlignment="1">
      <alignment vertical="center"/>
    </xf>
    <xf numFmtId="3" fontId="57" fillId="3" borderId="0" xfId="0" applyNumberFormat="1" applyFont="1" applyFill="1" applyAlignment="1">
      <alignment wrapText="1"/>
    </xf>
    <xf numFmtId="0" fontId="57" fillId="3" borderId="0" xfId="0" applyFont="1" applyFill="1" applyAlignment="1">
      <alignment wrapText="1"/>
    </xf>
    <xf numFmtId="0" fontId="59" fillId="3" borderId="0" xfId="0" applyFont="1" applyFill="1" applyAlignment="1">
      <alignment wrapText="1"/>
    </xf>
    <xf numFmtId="0" fontId="54" fillId="3" borderId="0" xfId="0" applyFont="1" applyFill="1" applyAlignment="1">
      <alignment wrapText="1"/>
    </xf>
    <xf numFmtId="0" fontId="57" fillId="0" borderId="0" xfId="0" applyFont="1" applyFill="1" applyAlignment="1">
      <alignment wrapText="1"/>
    </xf>
    <xf numFmtId="0" fontId="28" fillId="0" borderId="0" xfId="0" applyFont="1" applyFill="1" applyAlignment="1">
      <alignment wrapText="1"/>
    </xf>
    <xf numFmtId="0" fontId="49" fillId="0" borderId="0" xfId="0" applyFont="1" applyFill="1" applyAlignment="1">
      <alignment wrapText="1"/>
    </xf>
    <xf numFmtId="0" fontId="62" fillId="0" borderId="0" xfId="0" applyFont="1" applyAlignment="1">
      <alignment wrapText="1"/>
    </xf>
    <xf numFmtId="0" fontId="27" fillId="4" borderId="0" xfId="0" applyFont="1" applyFill="1" applyAlignment="1">
      <alignment wrapText="1"/>
    </xf>
    <xf numFmtId="0" fontId="27" fillId="0" borderId="0" xfId="0" applyFont="1" applyFill="1" applyBorder="1" applyAlignment="1">
      <alignment wrapText="1"/>
    </xf>
    <xf numFmtId="0" fontId="34" fillId="0" borderId="0" xfId="0" applyFont="1" applyAlignment="1">
      <alignment wrapText="1"/>
    </xf>
    <xf numFmtId="0" fontId="43" fillId="0" borderId="0" xfId="0" applyFont="1" applyAlignment="1">
      <alignment wrapText="1"/>
    </xf>
    <xf numFmtId="0" fontId="57" fillId="0" borderId="0" xfId="0" applyFont="1" applyAlignment="1">
      <alignment wrapText="1"/>
    </xf>
    <xf numFmtId="0" fontId="65" fillId="0" borderId="0" xfId="0" applyFont="1" applyAlignment="1">
      <alignment wrapText="1"/>
    </xf>
    <xf numFmtId="0" fontId="28" fillId="0" borderId="0" xfId="0" applyFont="1" applyFill="1" applyAlignment="1">
      <alignment vertical="center"/>
    </xf>
    <xf numFmtId="0" fontId="29" fillId="0" borderId="0" xfId="0" applyFont="1" applyFill="1" applyBorder="1" applyAlignment="1">
      <alignment wrapText="1"/>
    </xf>
    <xf numFmtId="0" fontId="27" fillId="0" borderId="0" xfId="0" applyFont="1" applyBorder="1" applyAlignment="1">
      <alignment wrapText="1"/>
    </xf>
    <xf numFmtId="0" fontId="26" fillId="0" borderId="0" xfId="12" applyFont="1" applyAlignment="1">
      <alignment vertical="center"/>
    </xf>
    <xf numFmtId="0" fontId="26" fillId="3" borderId="0" xfId="12" applyFont="1" applyFill="1" applyAlignment="1">
      <alignment vertical="center"/>
    </xf>
    <xf numFmtId="0" fontId="26" fillId="3" borderId="0" xfId="12" applyFont="1" applyFill="1" applyAlignment="1">
      <alignment wrapText="1"/>
    </xf>
    <xf numFmtId="3" fontId="26" fillId="3" borderId="0" xfId="12" applyNumberFormat="1" applyFont="1" applyFill="1" applyAlignment="1">
      <alignment vertical="center"/>
    </xf>
    <xf numFmtId="3" fontId="26" fillId="3" borderId="0" xfId="12" applyNumberFormat="1" applyFont="1" applyFill="1" applyAlignment="1">
      <alignment wrapText="1"/>
    </xf>
    <xf numFmtId="0" fontId="28" fillId="0" borderId="0" xfId="12" applyFont="1" applyAlignment="1">
      <alignment horizontal="center" vertical="center" wrapText="1"/>
    </xf>
    <xf numFmtId="0" fontId="31" fillId="0" borderId="0" xfId="12" applyFont="1" applyAlignment="1">
      <alignment horizontal="center"/>
    </xf>
    <xf numFmtId="0" fontId="27" fillId="3" borderId="0" xfId="12" applyFont="1" applyFill="1" applyAlignment="1">
      <alignment wrapText="1"/>
    </xf>
    <xf numFmtId="0" fontId="27" fillId="3" borderId="0" xfId="12" applyFont="1" applyFill="1" applyAlignment="1">
      <alignment vertical="center"/>
    </xf>
    <xf numFmtId="0" fontId="16" fillId="0" borderId="0" xfId="12" applyFont="1" applyFill="1" applyAlignment="1">
      <alignment wrapText="1"/>
    </xf>
    <xf numFmtId="0" fontId="57" fillId="3" borderId="0" xfId="12" applyFont="1" applyFill="1" applyAlignment="1">
      <alignment wrapText="1"/>
    </xf>
    <xf numFmtId="0" fontId="55" fillId="3" borderId="0" xfId="12" applyFont="1" applyFill="1" applyAlignment="1">
      <alignment vertical="center"/>
    </xf>
    <xf numFmtId="0" fontId="26" fillId="0" borderId="0" xfId="12" applyFont="1" applyFill="1" applyAlignment="1">
      <alignment wrapText="1"/>
    </xf>
    <xf numFmtId="0" fontId="26" fillId="0" borderId="0" xfId="12" applyFont="1" applyAlignment="1">
      <alignment vertical="center" wrapText="1"/>
    </xf>
    <xf numFmtId="0" fontId="22" fillId="3" borderId="0" xfId="0" applyFont="1" applyFill="1" applyAlignment="1">
      <alignment wrapText="1"/>
    </xf>
    <xf numFmtId="0" fontId="57" fillId="0" borderId="0" xfId="0" applyFont="1" applyAlignment="1">
      <alignment vertical="center" wrapText="1"/>
    </xf>
    <xf numFmtId="0" fontId="57" fillId="3" borderId="0" xfId="0" applyFont="1" applyFill="1" applyAlignment="1">
      <alignment vertical="center"/>
    </xf>
    <xf numFmtId="3" fontId="57" fillId="3" borderId="0" xfId="0" applyNumberFormat="1" applyFont="1" applyFill="1" applyAlignment="1">
      <alignment vertical="center"/>
    </xf>
    <xf numFmtId="0" fontId="26" fillId="0" borderId="0" xfId="0" applyFont="1" applyFill="1" applyBorder="1" applyAlignment="1">
      <alignment vertical="center"/>
    </xf>
    <xf numFmtId="0" fontId="26" fillId="0" borderId="0" xfId="0" applyFont="1" applyFill="1" applyBorder="1" applyAlignment="1">
      <alignment wrapText="1"/>
    </xf>
    <xf numFmtId="3" fontId="26" fillId="0" borderId="0" xfId="0" applyNumberFormat="1" applyFont="1" applyFill="1" applyBorder="1" applyAlignment="1">
      <alignment vertical="center"/>
    </xf>
    <xf numFmtId="3" fontId="26" fillId="0" borderId="0" xfId="0" applyNumberFormat="1" applyFont="1" applyFill="1" applyBorder="1" applyAlignment="1">
      <alignment wrapText="1"/>
    </xf>
    <xf numFmtId="0" fontId="29" fillId="0" borderId="0" xfId="0" applyFont="1" applyFill="1" applyBorder="1" applyAlignment="1">
      <alignment vertical="center"/>
    </xf>
    <xf numFmtId="0" fontId="43" fillId="0" borderId="0" xfId="0" applyFont="1" applyFill="1" applyBorder="1" applyAlignment="1">
      <alignment wrapText="1"/>
    </xf>
    <xf numFmtId="0" fontId="34" fillId="0" borderId="0" xfId="0" applyFont="1" applyFill="1" applyBorder="1" applyAlignment="1">
      <alignment wrapText="1"/>
    </xf>
    <xf numFmtId="0" fontId="43" fillId="0" borderId="0" xfId="0" applyFont="1" applyFill="1" applyBorder="1" applyAlignment="1">
      <alignment vertical="center"/>
    </xf>
    <xf numFmtId="0" fontId="53" fillId="0" borderId="0" xfId="0" applyFont="1" applyFill="1" applyBorder="1" applyAlignment="1">
      <alignment wrapText="1"/>
    </xf>
    <xf numFmtId="0" fontId="28" fillId="0" borderId="0" xfId="0" applyFont="1" applyFill="1" applyBorder="1" applyAlignment="1">
      <alignment vertical="center"/>
    </xf>
    <xf numFmtId="0" fontId="26" fillId="0" borderId="0" xfId="0" applyFont="1" applyFill="1" applyBorder="1" applyAlignment="1">
      <alignment vertical="center" wrapText="1"/>
    </xf>
    <xf numFmtId="0" fontId="10" fillId="0" borderId="0" xfId="0" applyFont="1" applyBorder="1" applyAlignment="1">
      <alignment wrapText="1"/>
    </xf>
    <xf numFmtId="0" fontId="57" fillId="0" borderId="0" xfId="0" applyFont="1" applyFill="1" applyBorder="1" applyAlignment="1">
      <alignment wrapText="1"/>
    </xf>
    <xf numFmtId="3" fontId="26" fillId="3" borderId="0" xfId="0" applyNumberFormat="1" applyFont="1" applyFill="1" applyBorder="1" applyAlignment="1">
      <alignment wrapText="1"/>
    </xf>
    <xf numFmtId="0" fontId="27" fillId="0" borderId="0" xfId="12" applyFont="1" applyAlignment="1">
      <alignment wrapText="1"/>
    </xf>
    <xf numFmtId="0" fontId="34" fillId="0" borderId="0" xfId="12" applyFont="1" applyAlignment="1">
      <alignment wrapText="1"/>
    </xf>
    <xf numFmtId="0" fontId="54" fillId="0" borderId="0" xfId="0" applyFont="1" applyAlignment="1">
      <alignment wrapText="1"/>
    </xf>
    <xf numFmtId="0" fontId="67" fillId="0" borderId="0" xfId="0" applyFont="1" applyAlignment="1">
      <alignment wrapText="1"/>
    </xf>
    <xf numFmtId="0" fontId="76" fillId="0" borderId="0" xfId="0" applyFont="1" applyAlignment="1">
      <alignment wrapText="1"/>
    </xf>
    <xf numFmtId="0" fontId="27" fillId="6" borderId="0" xfId="0" applyFont="1" applyFill="1" applyAlignment="1">
      <alignment wrapText="1"/>
    </xf>
    <xf numFmtId="0" fontId="27" fillId="0" borderId="0" xfId="12" applyFont="1" applyFill="1" applyAlignment="1">
      <alignment wrapText="1"/>
    </xf>
    <xf numFmtId="0" fontId="57" fillId="0" borderId="0" xfId="0" applyFont="1" applyFill="1" applyAlignment="1">
      <alignment vertical="center"/>
    </xf>
    <xf numFmtId="0" fontId="39" fillId="0" borderId="0" xfId="0" applyFont="1" applyFill="1" applyAlignment="1">
      <alignment wrapText="1"/>
    </xf>
    <xf numFmtId="0" fontId="29" fillId="0" borderId="0" xfId="12" applyFont="1" applyAlignment="1">
      <alignment wrapText="1"/>
    </xf>
    <xf numFmtId="0" fontId="26" fillId="0" borderId="0" xfId="12" applyFont="1" applyAlignment="1">
      <alignment wrapText="1"/>
    </xf>
    <xf numFmtId="0" fontId="28" fillId="0" borderId="0" xfId="12" applyFont="1" applyAlignment="1">
      <alignment wrapText="1"/>
    </xf>
    <xf numFmtId="0" fontId="27" fillId="0" borderId="0" xfId="12" applyFont="1" applyBorder="1" applyAlignment="1">
      <alignment wrapText="1"/>
    </xf>
    <xf numFmtId="0" fontId="68" fillId="0" borderId="0" xfId="12" applyFont="1" applyAlignment="1">
      <alignment wrapText="1"/>
    </xf>
    <xf numFmtId="0" fontId="56" fillId="0" borderId="1" xfId="0" applyFont="1" applyBorder="1" applyAlignment="1">
      <alignment vertical="center" wrapText="1"/>
    </xf>
    <xf numFmtId="0" fontId="28" fillId="0" borderId="0" xfId="12" applyFont="1" applyFill="1" applyAlignment="1">
      <alignment vertical="center"/>
    </xf>
    <xf numFmtId="0" fontId="26" fillId="0" borderId="0" xfId="12" applyFont="1" applyFill="1" applyAlignment="1">
      <alignment vertical="center"/>
    </xf>
    <xf numFmtId="0" fontId="26" fillId="0" borderId="0" xfId="0" applyFont="1" applyFill="1" applyAlignment="1">
      <alignment horizontal="center" wrapText="1"/>
    </xf>
    <xf numFmtId="0" fontId="19" fillId="0" borderId="0" xfId="0" applyFont="1" applyFill="1" applyAlignment="1">
      <alignment vertical="center"/>
    </xf>
    <xf numFmtId="0" fontId="39" fillId="0" borderId="0" xfId="0" applyFont="1" applyFill="1" applyAlignment="1">
      <alignment horizontal="center" wrapText="1"/>
    </xf>
    <xf numFmtId="0" fontId="21" fillId="0" borderId="0" xfId="0" applyNumberFormat="1" applyFont="1" applyBorder="1" applyAlignment="1">
      <alignment vertical="top" wrapText="1"/>
    </xf>
    <xf numFmtId="3" fontId="82" fillId="3" borderId="0" xfId="12" applyNumberFormat="1" applyFont="1" applyFill="1" applyAlignment="1">
      <alignment wrapText="1"/>
    </xf>
    <xf numFmtId="0" fontId="83" fillId="0" borderId="0" xfId="12" applyFont="1" applyAlignment="1">
      <alignment horizontal="center"/>
    </xf>
    <xf numFmtId="0" fontId="84" fillId="0" borderId="0" xfId="0" applyFont="1" applyAlignment="1">
      <alignment wrapText="1"/>
    </xf>
    <xf numFmtId="0" fontId="27" fillId="0" borderId="0" xfId="0" applyFont="1" applyFill="1" applyAlignment="1">
      <alignment horizontal="center" wrapText="1"/>
    </xf>
    <xf numFmtId="0" fontId="83" fillId="0" borderId="0" xfId="0" applyFont="1" applyAlignment="1">
      <alignment horizontal="center"/>
    </xf>
    <xf numFmtId="3" fontId="57" fillId="0" borderId="5" xfId="0" applyNumberFormat="1" applyFont="1" applyFill="1" applyBorder="1" applyAlignment="1">
      <alignment vertical="center" wrapText="1"/>
    </xf>
    <xf numFmtId="3" fontId="57" fillId="0" borderId="2" xfId="0" applyNumberFormat="1" applyFont="1" applyFill="1" applyBorder="1" applyAlignment="1">
      <alignment vertical="center" wrapText="1"/>
    </xf>
    <xf numFmtId="0" fontId="12" fillId="0" borderId="0" xfId="0" applyFont="1"/>
    <xf numFmtId="0" fontId="8" fillId="0" borderId="0" xfId="0" applyFont="1" applyAlignment="1">
      <alignment wrapText="1"/>
    </xf>
    <xf numFmtId="0" fontId="8" fillId="0" borderId="0" xfId="0" applyFont="1" applyAlignment="1">
      <alignment vertical="center"/>
    </xf>
    <xf numFmtId="0" fontId="17" fillId="0" borderId="0" xfId="0" applyFont="1" applyAlignment="1">
      <alignment horizontal="center"/>
    </xf>
    <xf numFmtId="0" fontId="8" fillId="8" borderId="0" xfId="0" applyFont="1" applyFill="1" applyAlignment="1">
      <alignment vertical="center"/>
    </xf>
    <xf numFmtId="0" fontId="12" fillId="8" borderId="0" xfId="0" applyFont="1" applyFill="1"/>
    <xf numFmtId="0" fontId="8" fillId="8" borderId="0" xfId="0" applyFont="1" applyFill="1" applyAlignment="1">
      <alignment wrapText="1"/>
    </xf>
    <xf numFmtId="0" fontId="12" fillId="8" borderId="0" xfId="0" applyFont="1" applyFill="1" applyAlignment="1">
      <alignment vertical="center"/>
    </xf>
    <xf numFmtId="0" fontId="27" fillId="8" borderId="0" xfId="0" applyFont="1" applyFill="1" applyAlignment="1">
      <alignment wrapText="1"/>
    </xf>
    <xf numFmtId="0" fontId="10" fillId="8" borderId="0" xfId="0" applyFont="1" applyFill="1" applyAlignment="1">
      <alignment wrapText="1"/>
    </xf>
    <xf numFmtId="0" fontId="28" fillId="0" borderId="0" xfId="0" applyFont="1" applyBorder="1" applyAlignment="1">
      <alignment horizontal="left" vertical="center"/>
    </xf>
    <xf numFmtId="0" fontId="9" fillId="0" borderId="0" xfId="0" applyFont="1" applyAlignment="1">
      <alignment horizontal="left" wrapText="1"/>
    </xf>
    <xf numFmtId="0" fontId="9" fillId="8" borderId="0" xfId="0" applyFont="1" applyFill="1" applyAlignment="1">
      <alignment horizontal="left" wrapText="1"/>
    </xf>
    <xf numFmtId="0" fontId="27" fillId="8" borderId="0" xfId="0" applyFont="1" applyFill="1" applyAlignment="1">
      <alignment vertical="center"/>
    </xf>
    <xf numFmtId="0" fontId="29" fillId="8" borderId="0" xfId="0" applyFont="1" applyFill="1" applyAlignment="1">
      <alignment vertical="center"/>
    </xf>
    <xf numFmtId="0" fontId="16" fillId="8" borderId="0" xfId="0" applyFont="1" applyFill="1" applyAlignment="1">
      <alignment wrapText="1"/>
    </xf>
    <xf numFmtId="0" fontId="88" fillId="8" borderId="0" xfId="0" applyFont="1" applyFill="1" applyAlignment="1">
      <alignment wrapText="1"/>
    </xf>
    <xf numFmtId="3" fontId="27" fillId="8" borderId="0" xfId="0" applyNumberFormat="1" applyFont="1" applyFill="1" applyAlignment="1">
      <alignment vertical="center"/>
    </xf>
    <xf numFmtId="3" fontId="27" fillId="8" borderId="0" xfId="0" applyNumberFormat="1" applyFont="1" applyFill="1" applyAlignment="1">
      <alignment wrapText="1"/>
    </xf>
    <xf numFmtId="164" fontId="27" fillId="8" borderId="0" xfId="1" applyNumberFormat="1" applyFont="1" applyFill="1" applyAlignment="1">
      <alignment vertical="center"/>
    </xf>
    <xf numFmtId="0" fontId="27" fillId="8" borderId="0" xfId="0" applyFont="1" applyFill="1" applyAlignment="1">
      <alignment horizontal="left" vertical="center" wrapText="1"/>
    </xf>
    <xf numFmtId="3" fontId="27" fillId="8" borderId="0" xfId="0" applyNumberFormat="1" applyFont="1" applyFill="1" applyAlignment="1">
      <alignment vertical="center" wrapText="1"/>
    </xf>
    <xf numFmtId="0" fontId="29" fillId="8" borderId="0" xfId="0" applyFont="1" applyFill="1" applyAlignment="1">
      <alignment horizontal="left" vertical="center" wrapText="1"/>
    </xf>
    <xf numFmtId="0" fontId="27" fillId="8" borderId="0" xfId="0" applyFont="1" applyFill="1" applyAlignment="1">
      <alignment vertical="center" wrapText="1"/>
    </xf>
    <xf numFmtId="0" fontId="84" fillId="8" borderId="0" xfId="0" applyFont="1" applyFill="1" applyAlignment="1">
      <alignment wrapText="1"/>
    </xf>
    <xf numFmtId="0" fontId="26" fillId="8" borderId="0" xfId="0" applyFont="1" applyFill="1" applyAlignment="1">
      <alignment horizontal="center" wrapText="1"/>
    </xf>
    <xf numFmtId="0" fontId="34" fillId="8" borderId="0" xfId="0" applyFont="1" applyFill="1" applyAlignment="1">
      <alignment wrapText="1"/>
    </xf>
    <xf numFmtId="0" fontId="28" fillId="8" borderId="0" xfId="0" applyFont="1" applyFill="1" applyAlignment="1">
      <alignment wrapText="1"/>
    </xf>
    <xf numFmtId="0" fontId="56" fillId="8" borderId="0" xfId="0" applyFont="1" applyFill="1" applyAlignment="1">
      <alignment wrapText="1"/>
    </xf>
    <xf numFmtId="0" fontId="29" fillId="8" borderId="0" xfId="0" applyFont="1" applyFill="1" applyAlignment="1">
      <alignment wrapText="1"/>
    </xf>
    <xf numFmtId="0" fontId="57" fillId="8" borderId="0" xfId="0" applyFont="1" applyFill="1" applyAlignment="1">
      <alignment wrapText="1"/>
    </xf>
    <xf numFmtId="0" fontId="26" fillId="8" borderId="0" xfId="12" applyFont="1" applyFill="1" applyAlignment="1">
      <alignment wrapText="1"/>
    </xf>
    <xf numFmtId="0" fontId="26" fillId="8" borderId="0" xfId="12" applyFont="1" applyFill="1" applyAlignment="1">
      <alignment vertical="center"/>
    </xf>
    <xf numFmtId="0" fontId="28" fillId="8" borderId="0" xfId="12" applyFont="1" applyFill="1" applyAlignment="1">
      <alignment vertical="center"/>
    </xf>
    <xf numFmtId="3" fontId="27" fillId="8" borderId="0" xfId="12" applyNumberFormat="1" applyFont="1" applyFill="1" applyAlignment="1">
      <alignment wrapText="1"/>
    </xf>
    <xf numFmtId="0" fontId="27" fillId="8" borderId="0" xfId="12" applyFont="1" applyFill="1" applyAlignment="1">
      <alignment wrapText="1"/>
    </xf>
    <xf numFmtId="0" fontId="27" fillId="8" borderId="0" xfId="12" applyFont="1" applyFill="1" applyAlignment="1">
      <alignment vertical="center"/>
    </xf>
    <xf numFmtId="0" fontId="16" fillId="8" borderId="0" xfId="12" applyFont="1" applyFill="1" applyAlignment="1">
      <alignment wrapText="1"/>
    </xf>
    <xf numFmtId="0" fontId="57" fillId="8" borderId="0" xfId="12" applyFont="1" applyFill="1" applyAlignment="1">
      <alignment wrapText="1"/>
    </xf>
    <xf numFmtId="3" fontId="26" fillId="8" borderId="0" xfId="12" applyNumberFormat="1" applyFont="1" applyFill="1" applyAlignment="1">
      <alignment wrapText="1"/>
    </xf>
    <xf numFmtId="3" fontId="57" fillId="8" borderId="0" xfId="12" applyNumberFormat="1" applyFont="1" applyFill="1" applyBorder="1" applyAlignment="1">
      <alignment vertical="center"/>
    </xf>
    <xf numFmtId="0" fontId="26" fillId="8" borderId="0" xfId="12" applyFont="1" applyFill="1" applyAlignment="1">
      <alignment vertical="center" wrapText="1"/>
    </xf>
    <xf numFmtId="3" fontId="26" fillId="8" borderId="0" xfId="12" applyNumberFormat="1" applyFont="1" applyFill="1" applyAlignment="1">
      <alignment vertical="center"/>
    </xf>
    <xf numFmtId="0" fontId="26" fillId="8" borderId="0" xfId="0" applyFont="1" applyFill="1" applyAlignment="1">
      <alignment vertical="center"/>
    </xf>
    <xf numFmtId="3" fontId="26" fillId="8" borderId="0" xfId="0" applyNumberFormat="1" applyFont="1" applyFill="1" applyAlignment="1">
      <alignment wrapText="1"/>
    </xf>
    <xf numFmtId="0" fontId="26" fillId="8" borderId="0" xfId="0" applyFont="1" applyFill="1" applyAlignment="1">
      <alignment wrapText="1"/>
    </xf>
    <xf numFmtId="3" fontId="26" fillId="8" borderId="0" xfId="0" applyNumberFormat="1" applyFont="1" applyFill="1" applyAlignment="1">
      <alignment vertical="center" wrapText="1"/>
    </xf>
    <xf numFmtId="3" fontId="26" fillId="8" borderId="0" xfId="0" applyNumberFormat="1" applyFont="1" applyFill="1" applyAlignment="1">
      <alignment vertical="center"/>
    </xf>
    <xf numFmtId="0" fontId="28" fillId="8" borderId="0" xfId="0" applyFont="1" applyFill="1" applyAlignment="1">
      <alignment horizontal="left" vertical="center" wrapText="1"/>
    </xf>
    <xf numFmtId="0" fontId="26" fillId="8" borderId="0" xfId="0" applyFont="1" applyFill="1" applyAlignment="1">
      <alignment vertical="center" wrapText="1"/>
    </xf>
    <xf numFmtId="0" fontId="28" fillId="8" borderId="0" xfId="0" applyFont="1" applyFill="1" applyAlignment="1">
      <alignment vertical="center"/>
    </xf>
    <xf numFmtId="0" fontId="43" fillId="8" borderId="0" xfId="0" applyFont="1" applyFill="1" applyAlignment="1">
      <alignment wrapText="1"/>
    </xf>
    <xf numFmtId="0" fontId="43" fillId="8" borderId="0" xfId="0" applyFont="1" applyFill="1" applyAlignment="1">
      <alignment vertical="center"/>
    </xf>
    <xf numFmtId="0" fontId="89" fillId="8" borderId="0" xfId="0" applyFont="1" applyFill="1" applyAlignment="1">
      <alignment vertical="center"/>
    </xf>
    <xf numFmtId="3" fontId="89" fillId="8" borderId="0" xfId="0" applyNumberFormat="1" applyFont="1" applyFill="1" applyAlignment="1">
      <alignment vertical="center"/>
    </xf>
    <xf numFmtId="0" fontId="89" fillId="8" borderId="0" xfId="0" applyFont="1" applyFill="1" applyAlignment="1">
      <alignment wrapText="1"/>
    </xf>
    <xf numFmtId="0" fontId="89" fillId="3" borderId="0" xfId="0" applyFont="1" applyFill="1" applyAlignment="1">
      <alignment wrapText="1"/>
    </xf>
    <xf numFmtId="0" fontId="39" fillId="8" borderId="0" xfId="0" applyFont="1" applyFill="1" applyAlignment="1">
      <alignment wrapText="1"/>
    </xf>
    <xf numFmtId="0" fontId="39" fillId="8" borderId="0" xfId="0" applyFont="1" applyFill="1" applyAlignment="1">
      <alignment horizontal="center" wrapText="1"/>
    </xf>
    <xf numFmtId="0" fontId="49" fillId="8" borderId="0" xfId="0" applyFont="1" applyFill="1" applyAlignment="1">
      <alignment wrapText="1"/>
    </xf>
    <xf numFmtId="0" fontId="23" fillId="8" borderId="0" xfId="0" applyFont="1" applyFill="1" applyAlignment="1">
      <alignment wrapText="1"/>
    </xf>
    <xf numFmtId="0" fontId="47" fillId="8" borderId="0" xfId="0" applyFont="1" applyFill="1" applyAlignment="1">
      <alignment wrapText="1"/>
    </xf>
    <xf numFmtId="0" fontId="69" fillId="8" borderId="0" xfId="0" applyFont="1" applyFill="1" applyAlignment="1">
      <alignment wrapText="1"/>
    </xf>
    <xf numFmtId="0" fontId="14" fillId="8" borderId="0" xfId="0" applyFont="1" applyFill="1" applyAlignment="1">
      <alignment wrapText="1"/>
    </xf>
    <xf numFmtId="0" fontId="10" fillId="8" borderId="0" xfId="0" applyFont="1" applyFill="1" applyBorder="1" applyAlignment="1">
      <alignment wrapText="1"/>
    </xf>
    <xf numFmtId="0" fontId="27" fillId="8" borderId="0" xfId="0" applyFont="1" applyFill="1" applyBorder="1" applyAlignment="1">
      <alignment wrapText="1"/>
    </xf>
    <xf numFmtId="0" fontId="65" fillId="8" borderId="0" xfId="0" applyFont="1" applyFill="1" applyAlignment="1">
      <alignment wrapText="1"/>
    </xf>
    <xf numFmtId="0" fontId="57" fillId="8" borderId="0" xfId="0" applyFont="1" applyFill="1" applyAlignment="1">
      <alignment vertical="center"/>
    </xf>
    <xf numFmtId="0" fontId="24" fillId="8" borderId="0" xfId="0" applyFont="1" applyFill="1" applyAlignment="1">
      <alignment vertical="center"/>
    </xf>
    <xf numFmtId="0" fontId="24" fillId="8" borderId="0" xfId="0" applyFont="1" applyFill="1" applyAlignment="1">
      <alignment wrapText="1"/>
    </xf>
    <xf numFmtId="0" fontId="24" fillId="8" borderId="0" xfId="0" applyFont="1" applyFill="1" applyAlignment="1">
      <alignment vertical="center" wrapText="1"/>
    </xf>
    <xf numFmtId="0" fontId="33" fillId="8" borderId="0" xfId="0" applyFont="1" applyFill="1" applyAlignment="1">
      <alignment wrapText="1"/>
    </xf>
    <xf numFmtId="0" fontId="39" fillId="8" borderId="0" xfId="0" applyFont="1" applyFill="1" applyBorder="1" applyAlignment="1">
      <alignment wrapText="1"/>
    </xf>
    <xf numFmtId="0" fontId="39" fillId="0" borderId="0" xfId="0" applyFont="1" applyBorder="1" applyAlignment="1">
      <alignment wrapText="1"/>
    </xf>
    <xf numFmtId="0" fontId="26" fillId="0" borderId="0" xfId="0" applyFont="1" applyFill="1" applyBorder="1" applyAlignment="1">
      <alignment horizontal="center" wrapText="1"/>
    </xf>
    <xf numFmtId="0" fontId="14" fillId="0" borderId="0" xfId="0" applyFont="1" applyFill="1" applyBorder="1" applyAlignment="1">
      <alignment wrapText="1"/>
    </xf>
    <xf numFmtId="0" fontId="28" fillId="3" borderId="0" xfId="0" applyFont="1" applyFill="1" applyBorder="1" applyAlignment="1">
      <alignment vertical="center"/>
    </xf>
    <xf numFmtId="3" fontId="26" fillId="8" borderId="0" xfId="0" applyNumberFormat="1" applyFont="1" applyFill="1" applyBorder="1" applyAlignment="1">
      <alignment wrapText="1"/>
    </xf>
    <xf numFmtId="0" fontId="26" fillId="8" borderId="0" xfId="0" applyFont="1" applyFill="1" applyBorder="1" applyAlignment="1">
      <alignment wrapText="1"/>
    </xf>
    <xf numFmtId="0" fontId="59" fillId="8" borderId="0" xfId="0" applyFont="1" applyFill="1" applyAlignment="1">
      <alignment wrapText="1"/>
    </xf>
    <xf numFmtId="0" fontId="55" fillId="8" borderId="0" xfId="0" applyFont="1" applyFill="1" applyAlignment="1">
      <alignment wrapText="1"/>
    </xf>
    <xf numFmtId="0" fontId="54" fillId="8" borderId="0" xfId="0" applyFont="1" applyFill="1" applyAlignment="1">
      <alignment wrapText="1"/>
    </xf>
    <xf numFmtId="0" fontId="22" fillId="8" borderId="0" xfId="0" applyFont="1" applyFill="1" applyAlignment="1">
      <alignment wrapText="1"/>
    </xf>
    <xf numFmtId="0" fontId="43" fillId="8" borderId="0" xfId="0" applyFont="1" applyFill="1" applyBorder="1" applyAlignment="1">
      <alignment wrapText="1"/>
    </xf>
    <xf numFmtId="0" fontId="57" fillId="8" borderId="0" xfId="0" applyFont="1" applyFill="1" applyBorder="1" applyAlignment="1">
      <alignment wrapText="1"/>
    </xf>
    <xf numFmtId="0" fontId="29" fillId="8" borderId="0" xfId="0" applyFont="1" applyFill="1" applyBorder="1" applyAlignment="1">
      <alignment vertical="center"/>
    </xf>
    <xf numFmtId="0" fontId="43" fillId="8" borderId="0" xfId="0" applyFont="1" applyFill="1" applyBorder="1" applyAlignment="1">
      <alignment vertical="center"/>
    </xf>
    <xf numFmtId="0" fontId="34" fillId="8" borderId="0" xfId="0" applyFont="1" applyFill="1" applyBorder="1" applyAlignment="1">
      <alignment wrapText="1"/>
    </xf>
    <xf numFmtId="0" fontId="53" fillId="8" borderId="0" xfId="0" applyFont="1" applyFill="1" applyBorder="1" applyAlignment="1">
      <alignment wrapText="1"/>
    </xf>
    <xf numFmtId="0" fontId="28" fillId="8" borderId="0" xfId="0" applyFont="1" applyFill="1" applyBorder="1" applyAlignment="1">
      <alignment vertical="center"/>
    </xf>
    <xf numFmtId="3" fontId="57" fillId="8" borderId="0" xfId="0" applyNumberFormat="1" applyFont="1" applyFill="1" applyAlignment="1">
      <alignment vertical="center"/>
    </xf>
    <xf numFmtId="0" fontId="88" fillId="8" borderId="0" xfId="0" applyFont="1" applyFill="1" applyBorder="1" applyAlignment="1">
      <alignment vertical="center" wrapText="1"/>
    </xf>
    <xf numFmtId="3" fontId="88" fillId="8" borderId="0" xfId="0" applyNumberFormat="1" applyFont="1" applyFill="1" applyBorder="1" applyAlignment="1">
      <alignment vertical="center"/>
    </xf>
    <xf numFmtId="0" fontId="88" fillId="8" borderId="0" xfId="0" applyFont="1" applyFill="1" applyBorder="1" applyAlignment="1">
      <alignment wrapText="1"/>
    </xf>
    <xf numFmtId="0" fontId="20" fillId="8" borderId="0" xfId="10" applyFont="1" applyFill="1" applyBorder="1" applyAlignment="1">
      <alignment horizontal="left" vertical="center" wrapText="1"/>
    </xf>
    <xf numFmtId="0" fontId="20" fillId="8" borderId="0" xfId="0" applyFont="1" applyFill="1" applyBorder="1" applyAlignment="1">
      <alignment vertical="center"/>
    </xf>
    <xf numFmtId="0" fontId="88" fillId="8" borderId="0" xfId="11" applyFont="1" applyFill="1" applyBorder="1" applyAlignment="1">
      <alignment horizontal="left" vertical="center" wrapText="1"/>
    </xf>
    <xf numFmtId="3" fontId="88" fillId="8" borderId="0" xfId="0" applyNumberFormat="1" applyFont="1" applyFill="1" applyBorder="1" applyAlignment="1">
      <alignment horizontal="right" vertical="center" wrapText="1"/>
    </xf>
    <xf numFmtId="0" fontId="88" fillId="8" borderId="0" xfId="0" applyFont="1" applyFill="1" applyBorder="1" applyAlignment="1">
      <alignment vertical="center"/>
    </xf>
    <xf numFmtId="3" fontId="20" fillId="8" borderId="0" xfId="0" applyNumberFormat="1" applyFont="1" applyFill="1" applyBorder="1" applyAlignment="1">
      <alignment vertical="center"/>
    </xf>
    <xf numFmtId="0" fontId="20" fillId="8" borderId="0" xfId="10" applyFont="1" applyFill="1" applyBorder="1" applyAlignment="1">
      <alignment vertical="center" wrapText="1"/>
    </xf>
    <xf numFmtId="0" fontId="71" fillId="8" borderId="0" xfId="7" applyFont="1" applyFill="1" applyBorder="1" applyAlignment="1">
      <alignment vertical="center" wrapText="1"/>
    </xf>
    <xf numFmtId="3" fontId="37" fillId="8" borderId="0" xfId="0" applyNumberFormat="1" applyFont="1" applyFill="1" applyBorder="1" applyAlignment="1">
      <alignment vertical="center"/>
    </xf>
    <xf numFmtId="3" fontId="37" fillId="8" borderId="0" xfId="0" applyNumberFormat="1" applyFont="1" applyFill="1" applyBorder="1" applyAlignment="1">
      <alignment horizontal="right" vertical="center" wrapText="1"/>
    </xf>
    <xf numFmtId="0" fontId="37" fillId="8" borderId="0" xfId="0" applyFont="1" applyFill="1" applyBorder="1" applyAlignment="1">
      <alignment wrapText="1"/>
    </xf>
    <xf numFmtId="3" fontId="31" fillId="8" borderId="0" xfId="0" applyNumberFormat="1" applyFont="1" applyFill="1" applyBorder="1" applyAlignment="1">
      <alignment vertical="center"/>
    </xf>
    <xf numFmtId="0" fontId="31" fillId="8" borderId="0" xfId="0" applyFont="1" applyFill="1" applyBorder="1" applyAlignment="1">
      <alignment wrapText="1"/>
    </xf>
    <xf numFmtId="0" fontId="24" fillId="8" borderId="0" xfId="10" applyFont="1" applyFill="1" applyBorder="1" applyAlignment="1">
      <alignment vertical="center" wrapText="1"/>
    </xf>
    <xf numFmtId="0" fontId="90" fillId="8" borderId="0" xfId="10" applyFont="1" applyFill="1" applyBorder="1" applyAlignment="1">
      <alignment vertical="center" wrapText="1"/>
    </xf>
    <xf numFmtId="3" fontId="91" fillId="8" borderId="0" xfId="0" applyNumberFormat="1" applyFont="1" applyFill="1" applyBorder="1" applyAlignment="1">
      <alignment vertical="center"/>
    </xf>
    <xf numFmtId="3" fontId="91" fillId="8" borderId="0" xfId="0" applyNumberFormat="1" applyFont="1" applyFill="1" applyBorder="1" applyAlignment="1">
      <alignment horizontal="right" vertical="center" wrapText="1"/>
    </xf>
    <xf numFmtId="0" fontId="31" fillId="8" borderId="0" xfId="0" applyFont="1" applyFill="1" applyBorder="1" applyAlignment="1">
      <alignment vertical="center" wrapText="1"/>
    </xf>
    <xf numFmtId="3" fontId="31" fillId="8" borderId="0" xfId="0" applyNumberFormat="1" applyFont="1" applyFill="1" applyBorder="1" applyAlignment="1">
      <alignment wrapText="1"/>
    </xf>
    <xf numFmtId="0" fontId="90" fillId="8" borderId="0" xfId="0" applyFont="1" applyFill="1" applyBorder="1" applyAlignment="1">
      <alignment vertical="center" wrapText="1"/>
    </xf>
    <xf numFmtId="3" fontId="90" fillId="8" borderId="0" xfId="0" applyNumberFormat="1" applyFont="1" applyFill="1" applyBorder="1" applyAlignment="1">
      <alignment vertical="center"/>
    </xf>
    <xf numFmtId="0" fontId="90" fillId="8" borderId="0" xfId="0" applyFont="1" applyFill="1" applyBorder="1" applyAlignment="1">
      <alignment vertical="center"/>
    </xf>
    <xf numFmtId="0" fontId="92" fillId="8" borderId="0" xfId="0" applyNumberFormat="1" applyFont="1" applyFill="1" applyBorder="1" applyAlignment="1">
      <alignment wrapText="1"/>
    </xf>
    <xf numFmtId="3" fontId="87" fillId="8" borderId="0" xfId="0" applyNumberFormat="1" applyFont="1" applyFill="1" applyBorder="1" applyAlignment="1"/>
    <xf numFmtId="0" fontId="36" fillId="8" borderId="0" xfId="0" applyFont="1" applyFill="1" applyAlignment="1">
      <alignment wrapText="1"/>
    </xf>
    <xf numFmtId="0" fontId="34" fillId="8" borderId="0" xfId="0" applyFont="1" applyFill="1" applyAlignment="1">
      <alignment vertical="center"/>
    </xf>
    <xf numFmtId="0" fontId="17" fillId="8" borderId="0" xfId="0" applyFont="1" applyFill="1" applyAlignment="1">
      <alignment vertical="center"/>
    </xf>
    <xf numFmtId="0" fontId="17" fillId="8" borderId="0" xfId="0" applyFont="1" applyFill="1" applyAlignment="1">
      <alignment wrapText="1"/>
    </xf>
    <xf numFmtId="0" fontId="29" fillId="0" borderId="0" xfId="0" applyFont="1" applyBorder="1" applyAlignment="1">
      <alignment vertical="center" wrapText="1"/>
    </xf>
    <xf numFmtId="3" fontId="29" fillId="0" borderId="0" xfId="0" applyNumberFormat="1" applyFont="1" applyBorder="1" applyAlignment="1">
      <alignment vertical="center"/>
    </xf>
    <xf numFmtId="3" fontId="19" fillId="0" borderId="0" xfId="0" applyNumberFormat="1" applyFont="1" applyBorder="1" applyAlignment="1">
      <alignment vertical="center"/>
    </xf>
    <xf numFmtId="0" fontId="28" fillId="0" borderId="0" xfId="12" applyFont="1" applyBorder="1" applyAlignment="1">
      <alignment vertical="center" wrapText="1"/>
    </xf>
    <xf numFmtId="3" fontId="28" fillId="0" borderId="0" xfId="12" applyNumberFormat="1" applyFont="1" applyBorder="1" applyAlignment="1">
      <alignment vertical="center"/>
    </xf>
    <xf numFmtId="3" fontId="29" fillId="8" borderId="0" xfId="0" applyNumberFormat="1" applyFont="1" applyFill="1" applyAlignment="1">
      <alignment vertical="center"/>
    </xf>
    <xf numFmtId="0" fontId="37" fillId="8" borderId="0" xfId="0" applyFont="1" applyFill="1" applyAlignment="1">
      <alignment wrapText="1"/>
    </xf>
    <xf numFmtId="3" fontId="28" fillId="8" borderId="0" xfId="0" applyNumberFormat="1" applyFont="1" applyFill="1" applyAlignment="1">
      <alignment vertical="center"/>
    </xf>
    <xf numFmtId="0" fontId="19" fillId="8" borderId="0" xfId="0" applyFont="1" applyFill="1" applyAlignment="1">
      <alignment vertical="center"/>
    </xf>
    <xf numFmtId="0" fontId="88" fillId="0" borderId="0" xfId="0" applyFont="1" applyFill="1" applyAlignment="1">
      <alignment wrapText="1"/>
    </xf>
    <xf numFmtId="0" fontId="60" fillId="0" borderId="2" xfId="7" applyFont="1" applyFill="1" applyBorder="1" applyAlignment="1">
      <alignment vertical="center" wrapText="1"/>
    </xf>
    <xf numFmtId="3" fontId="57" fillId="0" borderId="0" xfId="0" applyNumberFormat="1" applyFont="1" applyAlignment="1">
      <alignment wrapText="1"/>
    </xf>
    <xf numFmtId="0" fontId="57" fillId="0" borderId="0" xfId="0" applyFont="1" applyBorder="1" applyAlignment="1">
      <alignment wrapText="1"/>
    </xf>
    <xf numFmtId="3" fontId="28" fillId="8" borderId="0" xfId="12" applyNumberFormat="1" applyFont="1" applyFill="1" applyAlignment="1">
      <alignment wrapText="1"/>
    </xf>
    <xf numFmtId="0" fontId="28" fillId="8" borderId="0" xfId="12" applyFont="1" applyFill="1" applyAlignment="1">
      <alignment wrapText="1"/>
    </xf>
    <xf numFmtId="3" fontId="29" fillId="8" borderId="0" xfId="12" applyNumberFormat="1" applyFont="1" applyFill="1" applyAlignment="1">
      <alignment wrapText="1"/>
    </xf>
    <xf numFmtId="0" fontId="28" fillId="0" borderId="0" xfId="12" applyFont="1" applyFill="1" applyAlignment="1">
      <alignment wrapText="1"/>
    </xf>
    <xf numFmtId="0" fontId="95" fillId="0" borderId="0" xfId="14" applyFont="1"/>
    <xf numFmtId="165" fontId="95" fillId="0" borderId="0" xfId="14" applyNumberFormat="1" applyFont="1"/>
    <xf numFmtId="0" fontId="58" fillId="0" borderId="0" xfId="14" applyFont="1"/>
    <xf numFmtId="0" fontId="95" fillId="0" borderId="0" xfId="14" applyFont="1" applyBorder="1"/>
    <xf numFmtId="0" fontId="16" fillId="0" borderId="0" xfId="14" applyFont="1"/>
    <xf numFmtId="0" fontId="36" fillId="0" borderId="0" xfId="14" applyFont="1"/>
    <xf numFmtId="0" fontId="96" fillId="0" borderId="0" xfId="14" applyFont="1"/>
    <xf numFmtId="0" fontId="18" fillId="0" borderId="0" xfId="14" applyFont="1"/>
    <xf numFmtId="0" fontId="100" fillId="0" borderId="0" xfId="0" applyFont="1" applyAlignment="1">
      <alignment wrapText="1"/>
    </xf>
    <xf numFmtId="0" fontId="100" fillId="3" borderId="0" xfId="0" applyFont="1" applyFill="1" applyAlignment="1">
      <alignment wrapText="1"/>
    </xf>
    <xf numFmtId="3" fontId="26" fillId="3" borderId="6" xfId="0" applyNumberFormat="1" applyFont="1" applyFill="1" applyBorder="1" applyAlignment="1">
      <alignment wrapText="1"/>
    </xf>
    <xf numFmtId="3" fontId="57" fillId="3" borderId="6" xfId="0" applyNumberFormat="1" applyFont="1" applyFill="1" applyBorder="1" applyAlignment="1">
      <alignment wrapText="1"/>
    </xf>
    <xf numFmtId="0" fontId="60" fillId="8" borderId="0" xfId="0" applyFont="1" applyFill="1" applyBorder="1" applyAlignment="1"/>
    <xf numFmtId="0" fontId="57" fillId="8" borderId="2" xfId="0" applyFont="1" applyFill="1" applyBorder="1" applyAlignment="1">
      <alignment horizontal="left" vertical="center" wrapText="1" indent="1"/>
    </xf>
    <xf numFmtId="165" fontId="57" fillId="8" borderId="2" xfId="0" applyNumberFormat="1" applyFont="1" applyFill="1" applyBorder="1" applyAlignment="1">
      <alignment horizontal="right" vertical="center" wrapText="1"/>
    </xf>
    <xf numFmtId="3" fontId="57" fillId="8" borderId="2" xfId="0" applyNumberFormat="1" applyFont="1" applyFill="1" applyBorder="1" applyAlignment="1">
      <alignment wrapText="1"/>
    </xf>
    <xf numFmtId="0" fontId="69" fillId="8" borderId="2" xfId="0" applyFont="1" applyFill="1" applyBorder="1" applyAlignment="1">
      <alignment wrapText="1"/>
    </xf>
    <xf numFmtId="3" fontId="69" fillId="8" borderId="2" xfId="0" applyNumberFormat="1" applyFont="1" applyFill="1" applyBorder="1" applyAlignment="1">
      <alignment wrapText="1"/>
    </xf>
    <xf numFmtId="3" fontId="26" fillId="0" borderId="0" xfId="12" applyNumberFormat="1" applyFont="1" applyFill="1" applyAlignment="1">
      <alignment vertical="center"/>
    </xf>
    <xf numFmtId="0" fontId="27" fillId="8" borderId="0" xfId="0" applyFont="1" applyFill="1" applyBorder="1" applyAlignment="1">
      <alignment vertical="center"/>
    </xf>
    <xf numFmtId="0" fontId="57" fillId="4" borderId="0" xfId="0" applyFont="1" applyFill="1" applyBorder="1" applyAlignment="1">
      <alignment vertical="center" wrapText="1"/>
    </xf>
    <xf numFmtId="3" fontId="57" fillId="4" borderId="0" xfId="0" applyNumberFormat="1" applyFont="1" applyFill="1" applyAlignment="1">
      <alignment wrapText="1"/>
    </xf>
    <xf numFmtId="0" fontId="100" fillId="8" borderId="0" xfId="0" applyFont="1" applyFill="1" applyAlignment="1">
      <alignment wrapText="1"/>
    </xf>
    <xf numFmtId="0" fontId="99" fillId="8" borderId="0" xfId="0" applyFont="1" applyFill="1" applyAlignment="1">
      <alignment horizontal="right"/>
    </xf>
    <xf numFmtId="0" fontId="101" fillId="8" borderId="0" xfId="15" applyFont="1" applyFill="1" applyBorder="1" applyAlignment="1" applyProtection="1">
      <alignment horizontal="left"/>
    </xf>
    <xf numFmtId="0" fontId="100" fillId="8" borderId="0" xfId="0" applyFont="1" applyFill="1" applyBorder="1" applyAlignment="1">
      <alignment horizontal="left" wrapText="1"/>
    </xf>
    <xf numFmtId="0" fontId="28" fillId="8" borderId="0" xfId="0" applyFont="1" applyFill="1" applyBorder="1" applyAlignment="1">
      <alignment horizontal="center" vertical="center"/>
    </xf>
    <xf numFmtId="0" fontId="98" fillId="0" borderId="0" xfId="15" applyAlignment="1" applyProtection="1">
      <alignment horizontal="left" wrapText="1"/>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3" fontId="28" fillId="0" borderId="8" xfId="0" applyNumberFormat="1" applyFont="1" applyFill="1" applyBorder="1" applyAlignment="1">
      <alignment horizontal="center" vertical="center"/>
    </xf>
    <xf numFmtId="3" fontId="28" fillId="0" borderId="9" xfId="0" applyNumberFormat="1" applyFont="1" applyFill="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3" fontId="8" fillId="0" borderId="11" xfId="0" applyNumberFormat="1"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3" fontId="8" fillId="0" borderId="13" xfId="0" applyNumberFormat="1" applyFont="1" applyBorder="1" applyAlignment="1">
      <alignment vertical="center" wrapText="1"/>
    </xf>
    <xf numFmtId="3" fontId="8" fillId="0" borderId="14" xfId="0" applyNumberFormat="1" applyFont="1" applyBorder="1" applyAlignment="1">
      <alignment vertical="center" wrapText="1"/>
    </xf>
    <xf numFmtId="1" fontId="8" fillId="0" borderId="13" xfId="0" applyNumberFormat="1" applyFont="1" applyBorder="1" applyAlignment="1">
      <alignment vertical="center" wrapText="1"/>
    </xf>
    <xf numFmtId="1" fontId="8" fillId="0" borderId="14" xfId="0" applyNumberFormat="1" applyFont="1" applyBorder="1" applyAlignment="1">
      <alignmen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3" fontId="8" fillId="0" borderId="13"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0" fontId="8" fillId="0" borderId="12" xfId="0" applyFont="1" applyBorder="1" applyAlignment="1">
      <alignment vertical="center"/>
    </xf>
    <xf numFmtId="0" fontId="8" fillId="0" borderId="13" xfId="0" applyFont="1" applyBorder="1" applyAlignment="1">
      <alignment vertical="center"/>
    </xf>
    <xf numFmtId="3" fontId="8" fillId="0" borderId="13" xfId="0" applyNumberFormat="1" applyFont="1" applyBorder="1" applyAlignment="1">
      <alignment vertical="center"/>
    </xf>
    <xf numFmtId="0" fontId="70" fillId="0" borderId="12" xfId="0" applyFont="1" applyBorder="1" applyAlignment="1">
      <alignment vertical="center"/>
    </xf>
    <xf numFmtId="0" fontId="70" fillId="0" borderId="13" xfId="0" applyFont="1" applyBorder="1" applyAlignment="1">
      <alignment vertical="center"/>
    </xf>
    <xf numFmtId="3" fontId="70" fillId="0" borderId="13" xfId="0" applyNumberFormat="1" applyFont="1" applyBorder="1" applyAlignment="1">
      <alignment horizontal="right" vertical="center" wrapText="1"/>
    </xf>
    <xf numFmtId="3" fontId="70" fillId="0" borderId="13" xfId="0" applyNumberFormat="1" applyFont="1" applyBorder="1" applyAlignment="1">
      <alignment vertical="center"/>
    </xf>
    <xf numFmtId="3" fontId="70" fillId="0" borderId="13" xfId="0" applyNumberFormat="1" applyFont="1" applyBorder="1" applyAlignment="1">
      <alignment vertical="center" wrapText="1"/>
    </xf>
    <xf numFmtId="3" fontId="70" fillId="0" borderId="14" xfId="0" applyNumberFormat="1" applyFont="1" applyBorder="1" applyAlignment="1">
      <alignment vertical="center" wrapText="1"/>
    </xf>
    <xf numFmtId="0" fontId="25" fillId="0" borderId="12" xfId="0" applyFont="1" applyBorder="1" applyAlignment="1">
      <alignment vertical="center"/>
    </xf>
    <xf numFmtId="49" fontId="25" fillId="0" borderId="13" xfId="0" applyNumberFormat="1" applyFont="1" applyBorder="1" applyAlignment="1">
      <alignment vertical="center" wrapText="1"/>
    </xf>
    <xf numFmtId="3" fontId="8" fillId="0" borderId="13" xfId="0" applyNumberFormat="1" applyFont="1" applyFill="1" applyBorder="1" applyAlignment="1">
      <alignment vertical="center"/>
    </xf>
    <xf numFmtId="3" fontId="8" fillId="0" borderId="13" xfId="0" applyNumberFormat="1" applyFont="1" applyFill="1" applyBorder="1" applyAlignment="1">
      <alignment vertical="center" wrapText="1"/>
    </xf>
    <xf numFmtId="3" fontId="25" fillId="0" borderId="13" xfId="0" applyNumberFormat="1" applyFont="1" applyBorder="1" applyAlignment="1">
      <alignment vertical="center" wrapText="1"/>
    </xf>
    <xf numFmtId="3" fontId="25" fillId="0" borderId="14" xfId="0" applyNumberFormat="1" applyFont="1" applyBorder="1" applyAlignment="1">
      <alignment vertical="center" wrapText="1"/>
    </xf>
    <xf numFmtId="0" fontId="8" fillId="0" borderId="12" xfId="0" applyFont="1" applyBorder="1" applyAlignment="1">
      <alignment horizontal="left" vertical="center"/>
    </xf>
    <xf numFmtId="0" fontId="8" fillId="0" borderId="15" xfId="0" applyFont="1" applyBorder="1" applyAlignment="1">
      <alignment vertical="center"/>
    </xf>
    <xf numFmtId="0" fontId="8" fillId="0" borderId="16" xfId="0" applyFont="1" applyBorder="1" applyAlignment="1">
      <alignment vertical="center"/>
    </xf>
    <xf numFmtId="3" fontId="8" fillId="0" borderId="16" xfId="0" applyNumberFormat="1" applyFont="1" applyBorder="1" applyAlignment="1">
      <alignment horizontal="right" vertical="center"/>
    </xf>
    <xf numFmtId="3" fontId="8" fillId="0" borderId="16" xfId="0" applyNumberFormat="1" applyFont="1" applyBorder="1" applyAlignment="1">
      <alignment vertical="center"/>
    </xf>
    <xf numFmtId="3" fontId="8" fillId="0" borderId="16" xfId="0" applyNumberFormat="1" applyFont="1" applyBorder="1" applyAlignment="1">
      <alignment vertical="center" wrapText="1"/>
    </xf>
    <xf numFmtId="3" fontId="8" fillId="0" borderId="17" xfId="0" applyNumberFormat="1" applyFont="1" applyBorder="1" applyAlignment="1">
      <alignment vertical="center" wrapText="1"/>
    </xf>
    <xf numFmtId="0" fontId="28" fillId="0" borderId="18" xfId="0" applyFont="1" applyFill="1" applyBorder="1" applyAlignment="1">
      <alignment horizontal="center" vertical="center"/>
    </xf>
    <xf numFmtId="3" fontId="28" fillId="0" borderId="19" xfId="0" applyNumberFormat="1" applyFont="1" applyFill="1" applyBorder="1" applyAlignment="1">
      <alignment horizontal="center" vertical="center"/>
    </xf>
    <xf numFmtId="49" fontId="25" fillId="8" borderId="13" xfId="0" applyNumberFormat="1" applyFont="1" applyFill="1" applyBorder="1" applyAlignment="1">
      <alignment vertical="center" wrapText="1"/>
    </xf>
    <xf numFmtId="3" fontId="8" fillId="8" borderId="13" xfId="0" applyNumberFormat="1" applyFont="1" applyFill="1" applyBorder="1" applyAlignment="1">
      <alignment horizontal="right" vertical="center" wrapText="1"/>
    </xf>
    <xf numFmtId="10" fontId="17" fillId="0" borderId="13" xfId="0" applyNumberFormat="1" applyFont="1" applyBorder="1" applyAlignment="1">
      <alignment horizontal="right" vertical="center"/>
    </xf>
    <xf numFmtId="0" fontId="17" fillId="0" borderId="12" xfId="0" applyFont="1" applyBorder="1" applyAlignment="1">
      <alignment vertical="center"/>
    </xf>
    <xf numFmtId="0" fontId="27" fillId="0" borderId="13" xfId="0" applyFont="1" applyBorder="1" applyAlignment="1">
      <alignmen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164" fontId="17" fillId="0" borderId="16" xfId="0" applyNumberFormat="1" applyFont="1" applyBorder="1" applyAlignment="1">
      <alignment vertical="center"/>
    </xf>
    <xf numFmtId="164" fontId="17" fillId="0" borderId="16" xfId="0" applyNumberFormat="1" applyFont="1" applyBorder="1" applyAlignment="1">
      <alignment vertical="center" wrapText="1"/>
    </xf>
    <xf numFmtId="164" fontId="17" fillId="0" borderId="17" xfId="0" applyNumberFormat="1" applyFont="1" applyBorder="1" applyAlignment="1">
      <alignmen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164" fontId="17" fillId="0" borderId="13" xfId="0" applyNumberFormat="1" applyFont="1" applyBorder="1" applyAlignment="1">
      <alignment vertical="center"/>
    </xf>
    <xf numFmtId="10" fontId="17" fillId="0" borderId="13" xfId="0" applyNumberFormat="1" applyFont="1" applyBorder="1" applyAlignment="1">
      <alignment vertical="center"/>
    </xf>
    <xf numFmtId="164" fontId="17" fillId="0" borderId="13" xfId="0" applyNumberFormat="1" applyFont="1" applyBorder="1" applyAlignment="1">
      <alignment vertical="center" wrapText="1"/>
    </xf>
    <xf numFmtId="10" fontId="17" fillId="0" borderId="13" xfId="0" applyNumberFormat="1" applyFont="1" applyBorder="1" applyAlignment="1">
      <alignment vertical="center" wrapText="1"/>
    </xf>
    <xf numFmtId="164" fontId="17" fillId="0" borderId="14" xfId="0" applyNumberFormat="1" applyFont="1" applyBorder="1" applyAlignment="1">
      <alignment vertical="center" wrapText="1"/>
    </xf>
    <xf numFmtId="0" fontId="1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10" fontId="17" fillId="0" borderId="13" xfId="0" applyNumberFormat="1" applyFont="1" applyFill="1" applyBorder="1" applyAlignment="1">
      <alignment horizontal="right" vertical="center" wrapText="1"/>
    </xf>
    <xf numFmtId="10" fontId="17" fillId="0" borderId="13" xfId="0" applyNumberFormat="1" applyFont="1" applyFill="1" applyBorder="1" applyAlignment="1">
      <alignment horizontal="right" vertical="center"/>
    </xf>
    <xf numFmtId="10" fontId="27" fillId="0" borderId="14" xfId="0" applyNumberFormat="1" applyFont="1" applyFill="1" applyBorder="1" applyAlignment="1">
      <alignment vertical="center" wrapText="1"/>
    </xf>
    <xf numFmtId="0" fontId="17" fillId="0" borderId="13" xfId="0" applyFont="1" applyFill="1" applyBorder="1" applyAlignment="1">
      <alignment horizontal="left" vertical="center" wrapText="1"/>
    </xf>
    <xf numFmtId="164" fontId="17" fillId="0" borderId="13" xfId="0" applyNumberFormat="1" applyFont="1" applyFill="1" applyBorder="1" applyAlignment="1">
      <alignment horizontal="right" vertical="center" wrapText="1"/>
    </xf>
    <xf numFmtId="164" fontId="17" fillId="0" borderId="13" xfId="0" applyNumberFormat="1" applyFont="1" applyFill="1" applyBorder="1" applyAlignment="1">
      <alignment horizontal="right" vertical="center"/>
    </xf>
    <xf numFmtId="0" fontId="27" fillId="0" borderId="13" xfId="0" applyFont="1" applyBorder="1" applyAlignment="1">
      <alignment vertical="center"/>
    </xf>
    <xf numFmtId="164" fontId="27" fillId="0" borderId="14" xfId="0" applyNumberFormat="1" applyFont="1" applyBorder="1" applyAlignment="1">
      <alignment vertical="center" wrapText="1"/>
    </xf>
    <xf numFmtId="0" fontId="17" fillId="0" borderId="12" xfId="0" applyFont="1" applyFill="1" applyBorder="1" applyAlignment="1">
      <alignment vertical="center"/>
    </xf>
    <xf numFmtId="0" fontId="17" fillId="0" borderId="13" xfId="0" applyFont="1" applyFill="1" applyBorder="1" applyAlignment="1">
      <alignment vertical="center"/>
    </xf>
    <xf numFmtId="164" fontId="17" fillId="0" borderId="13" xfId="0" applyNumberFormat="1" applyFont="1" applyFill="1" applyBorder="1" applyAlignment="1">
      <alignment vertical="center"/>
    </xf>
    <xf numFmtId="164" fontId="17" fillId="0" borderId="13" xfId="0" applyNumberFormat="1" applyFont="1" applyFill="1" applyBorder="1" applyAlignment="1">
      <alignment vertical="center" wrapText="1"/>
    </xf>
    <xf numFmtId="164" fontId="17" fillId="0" borderId="14" xfId="0" applyNumberFormat="1" applyFont="1" applyFill="1" applyBorder="1" applyAlignment="1">
      <alignment vertical="center" wrapText="1"/>
    </xf>
    <xf numFmtId="10" fontId="17" fillId="0" borderId="13" xfId="0" applyNumberFormat="1" applyFont="1" applyFill="1" applyBorder="1" applyAlignment="1">
      <alignment vertical="center" wrapText="1"/>
    </xf>
    <xf numFmtId="10" fontId="27" fillId="0" borderId="14" xfId="0" applyNumberFormat="1" applyFont="1" applyBorder="1" applyAlignment="1">
      <alignment vertical="center" wrapText="1"/>
    </xf>
    <xf numFmtId="0" fontId="17" fillId="0" borderId="12" xfId="0" applyFont="1" applyBorder="1" applyAlignment="1">
      <alignment vertical="center" wrapText="1"/>
    </xf>
    <xf numFmtId="164" fontId="17" fillId="0" borderId="13" xfId="0" applyNumberFormat="1" applyFont="1" applyBorder="1" applyAlignment="1">
      <alignment horizontal="right" vertical="center"/>
    </xf>
    <xf numFmtId="0" fontId="17" fillId="0" borderId="13" xfId="0" applyFont="1" applyBorder="1" applyAlignment="1">
      <alignment vertical="center" wrapText="1"/>
    </xf>
    <xf numFmtId="0" fontId="17" fillId="0" borderId="13" xfId="0" applyFont="1" applyBorder="1" applyAlignment="1">
      <alignment vertical="center"/>
    </xf>
    <xf numFmtId="10" fontId="17" fillId="0" borderId="13" xfId="0" applyNumberFormat="1" applyFont="1" applyFill="1" applyBorder="1" applyAlignment="1">
      <alignment vertical="center"/>
    </xf>
    <xf numFmtId="10" fontId="17" fillId="0" borderId="14" xfId="0" applyNumberFormat="1" applyFont="1" applyBorder="1" applyAlignment="1">
      <alignment vertical="center" wrapText="1"/>
    </xf>
    <xf numFmtId="0" fontId="17" fillId="0" borderId="13" xfId="0" applyFont="1" applyBorder="1" applyAlignment="1">
      <alignment horizontal="right" vertical="center" wrapText="1"/>
    </xf>
    <xf numFmtId="0" fontId="99" fillId="3" borderId="23" xfId="0" applyFont="1" applyFill="1" applyBorder="1" applyAlignment="1">
      <alignment horizontal="right"/>
    </xf>
    <xf numFmtId="0" fontId="101" fillId="3" borderId="24" xfId="15" applyFont="1" applyFill="1" applyBorder="1" applyAlignment="1" applyProtection="1">
      <alignment horizontal="left"/>
    </xf>
    <xf numFmtId="0" fontId="100" fillId="3" borderId="25" xfId="0" applyFont="1" applyFill="1" applyBorder="1" applyAlignment="1">
      <alignment horizontal="left" wrapText="1"/>
    </xf>
    <xf numFmtId="0" fontId="28" fillId="3" borderId="0" xfId="0" applyFont="1" applyFill="1" applyAlignment="1">
      <alignment horizontal="center" vertical="center" wrapText="1"/>
    </xf>
    <xf numFmtId="0" fontId="83" fillId="3" borderId="0" xfId="0" applyFont="1" applyFill="1" applyAlignment="1">
      <alignment horizontal="center"/>
    </xf>
    <xf numFmtId="0" fontId="24" fillId="3" borderId="0" xfId="0" applyFont="1" applyFill="1" applyAlignment="1">
      <alignment horizontal="center"/>
    </xf>
    <xf numFmtId="0" fontId="98" fillId="3" borderId="0" xfId="15" applyFill="1" applyAlignment="1" applyProtection="1">
      <alignment horizontal="left" wrapText="1"/>
    </xf>
    <xf numFmtId="0" fontId="29" fillId="3" borderId="0" xfId="0" applyFont="1" applyFill="1" applyBorder="1" applyAlignment="1">
      <alignment vertical="center" wrapText="1"/>
    </xf>
    <xf numFmtId="0" fontId="28" fillId="3" borderId="0" xfId="0" applyFont="1" applyFill="1" applyBorder="1" applyAlignment="1">
      <alignment horizontal="left" vertical="center"/>
    </xf>
    <xf numFmtId="0" fontId="9" fillId="3" borderId="0" xfId="0" applyFont="1" applyFill="1" applyAlignment="1">
      <alignment horizontal="left"/>
    </xf>
    <xf numFmtId="0" fontId="13" fillId="3" borderId="0" xfId="0" applyFont="1" applyFill="1" applyAlignment="1">
      <alignment horizontal="left"/>
    </xf>
    <xf numFmtId="0" fontId="9" fillId="3" borderId="0" xfId="0" applyFont="1" applyFill="1" applyAlignment="1">
      <alignment horizontal="left" wrapText="1"/>
    </xf>
    <xf numFmtId="0" fontId="8" fillId="3" borderId="0" xfId="0" applyFont="1" applyFill="1" applyBorder="1" applyAlignment="1">
      <alignment horizontal="left" vertical="center" wrapText="1"/>
    </xf>
    <xf numFmtId="3" fontId="8" fillId="3" borderId="0" xfId="0" applyNumberFormat="1" applyFont="1" applyFill="1" applyBorder="1" applyAlignment="1">
      <alignment vertical="center"/>
    </xf>
    <xf numFmtId="0" fontId="13" fillId="3" borderId="0" xfId="0" applyFont="1" applyFill="1" applyAlignment="1">
      <alignment horizontal="center"/>
    </xf>
    <xf numFmtId="0" fontId="8" fillId="3" borderId="0" xfId="0" applyFont="1" applyFill="1" applyAlignment="1">
      <alignment vertical="center"/>
    </xf>
    <xf numFmtId="0" fontId="11" fillId="3" borderId="0" xfId="0" applyFont="1" applyFill="1" applyBorder="1" applyAlignment="1">
      <alignment vertical="center"/>
    </xf>
    <xf numFmtId="0" fontId="0" fillId="3" borderId="0" xfId="0" applyFill="1" applyAlignment="1">
      <alignment wrapText="1"/>
    </xf>
    <xf numFmtId="0" fontId="8" fillId="3" borderId="0" xfId="0" applyFont="1" applyFill="1" applyAlignment="1">
      <alignment wrapText="1"/>
    </xf>
    <xf numFmtId="0" fontId="26" fillId="3" borderId="0" xfId="0" applyFont="1" applyFill="1" applyBorder="1" applyAlignment="1">
      <alignment vertical="center"/>
    </xf>
    <xf numFmtId="0" fontId="29" fillId="3" borderId="0" xfId="0" applyFont="1" applyFill="1" applyBorder="1" applyAlignment="1">
      <alignment horizontal="center" vertical="center"/>
    </xf>
    <xf numFmtId="3" fontId="29" fillId="3" borderId="0" xfId="0" applyNumberFormat="1" applyFont="1" applyFill="1" applyBorder="1" applyAlignment="1">
      <alignment horizontal="center" vertical="center"/>
    </xf>
    <xf numFmtId="0" fontId="27" fillId="3" borderId="0" xfId="0" applyFont="1" applyFill="1" applyBorder="1" applyAlignment="1">
      <alignment vertical="center"/>
    </xf>
    <xf numFmtId="0" fontId="27" fillId="3" borderId="0" xfId="0" applyFont="1" applyFill="1" applyAlignment="1">
      <alignment vertical="top" wrapText="1"/>
    </xf>
    <xf numFmtId="0" fontId="27" fillId="0" borderId="12" xfId="0" applyFont="1" applyBorder="1" applyAlignment="1">
      <alignment vertical="center" wrapText="1"/>
    </xf>
    <xf numFmtId="3" fontId="27" fillId="0" borderId="13" xfId="0" applyNumberFormat="1" applyFont="1" applyBorder="1" applyAlignment="1">
      <alignment vertical="center"/>
    </xf>
    <xf numFmtId="3" fontId="17" fillId="0" borderId="13" xfId="0" applyNumberFormat="1" applyFont="1" applyBorder="1" applyAlignment="1">
      <alignment vertical="center"/>
    </xf>
    <xf numFmtId="3" fontId="17" fillId="0" borderId="13" xfId="0" applyNumberFormat="1" applyFont="1" applyFill="1" applyBorder="1" applyAlignment="1">
      <alignment horizontal="right" vertical="center" wrapText="1"/>
    </xf>
    <xf numFmtId="3" fontId="27" fillId="0" borderId="14" xfId="0" applyNumberFormat="1" applyFont="1" applyBorder="1" applyAlignment="1">
      <alignment vertical="center"/>
    </xf>
    <xf numFmtId="0" fontId="29" fillId="0" borderId="12" xfId="0" applyFont="1" applyFill="1" applyBorder="1" applyAlignment="1">
      <alignment vertical="center" wrapText="1"/>
    </xf>
    <xf numFmtId="0" fontId="29" fillId="0" borderId="13" xfId="0" applyFont="1" applyFill="1" applyBorder="1" applyAlignment="1">
      <alignment vertical="center" wrapText="1"/>
    </xf>
    <xf numFmtId="3" fontId="29" fillId="0" borderId="13" xfId="0" applyNumberFormat="1" applyFont="1" applyFill="1" applyBorder="1" applyAlignment="1">
      <alignment vertical="center"/>
    </xf>
    <xf numFmtId="3" fontId="19" fillId="0" borderId="13" xfId="0" applyNumberFormat="1" applyFont="1" applyFill="1" applyBorder="1" applyAlignment="1">
      <alignment vertical="center"/>
    </xf>
    <xf numFmtId="3" fontId="19" fillId="0" borderId="13" xfId="0" applyNumberFormat="1" applyFont="1" applyFill="1" applyBorder="1" applyAlignment="1">
      <alignment horizontal="right" vertical="center" wrapText="1"/>
    </xf>
    <xf numFmtId="3" fontId="29" fillId="0" borderId="14" xfId="0" applyNumberFormat="1" applyFont="1" applyFill="1" applyBorder="1" applyAlignment="1">
      <alignment vertical="center"/>
    </xf>
    <xf numFmtId="3" fontId="19" fillId="0" borderId="13" xfId="0" applyNumberFormat="1" applyFont="1" applyBorder="1" applyAlignment="1">
      <alignment vertical="center"/>
    </xf>
    <xf numFmtId="0" fontId="29" fillId="0" borderId="12" xfId="0" applyFont="1" applyBorder="1" applyAlignment="1">
      <alignment vertical="center" wrapText="1"/>
    </xf>
    <xf numFmtId="0" fontId="29" fillId="0" borderId="13" xfId="0" applyFont="1" applyBorder="1" applyAlignment="1">
      <alignment vertical="center" wrapText="1"/>
    </xf>
    <xf numFmtId="3" fontId="29" fillId="0" borderId="13" xfId="0" applyNumberFormat="1" applyFont="1" applyBorder="1" applyAlignment="1">
      <alignment vertical="center"/>
    </xf>
    <xf numFmtId="3" fontId="19" fillId="3" borderId="13" xfId="0" applyNumberFormat="1" applyFont="1" applyFill="1" applyBorder="1" applyAlignment="1">
      <alignment vertical="center"/>
    </xf>
    <xf numFmtId="3" fontId="19" fillId="3" borderId="14" xfId="0" applyNumberFormat="1" applyFont="1" applyFill="1" applyBorder="1" applyAlignment="1">
      <alignment vertical="center"/>
    </xf>
    <xf numFmtId="3" fontId="27" fillId="4" borderId="13" xfId="0" applyNumberFormat="1" applyFont="1" applyFill="1" applyBorder="1" applyAlignment="1">
      <alignment vertical="center"/>
    </xf>
    <xf numFmtId="3" fontId="27" fillId="4" borderId="14" xfId="0" applyNumberFormat="1" applyFont="1" applyFill="1" applyBorder="1" applyAlignment="1">
      <alignment vertical="center"/>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3" fontId="16" fillId="0" borderId="13" xfId="0" applyNumberFormat="1" applyFont="1" applyFill="1" applyBorder="1" applyAlignment="1">
      <alignment vertical="center"/>
    </xf>
    <xf numFmtId="3" fontId="17" fillId="0" borderId="13" xfId="0" applyNumberFormat="1" applyFont="1" applyFill="1" applyBorder="1" applyAlignment="1">
      <alignment vertical="center"/>
    </xf>
    <xf numFmtId="3" fontId="24" fillId="0" borderId="13" xfId="0" applyNumberFormat="1" applyFont="1" applyFill="1" applyBorder="1" applyAlignment="1">
      <alignment vertical="center"/>
    </xf>
    <xf numFmtId="3" fontId="16" fillId="0" borderId="13" xfId="0" applyNumberFormat="1" applyFont="1" applyFill="1" applyBorder="1" applyAlignment="1">
      <alignment horizontal="right" vertical="center" wrapText="1"/>
    </xf>
    <xf numFmtId="3" fontId="16" fillId="0" borderId="14" xfId="0" applyNumberFormat="1" applyFont="1" applyFill="1" applyBorder="1" applyAlignment="1">
      <alignment vertical="center"/>
    </xf>
    <xf numFmtId="3" fontId="27" fillId="0" borderId="13" xfId="0" applyNumberFormat="1" applyFont="1" applyFill="1" applyBorder="1" applyAlignment="1">
      <alignment vertical="center"/>
    </xf>
    <xf numFmtId="3" fontId="19" fillId="0" borderId="14" xfId="0" applyNumberFormat="1" applyFont="1" applyFill="1" applyBorder="1" applyAlignment="1">
      <alignment horizontal="right" vertical="center" wrapText="1"/>
    </xf>
    <xf numFmtId="3" fontId="29" fillId="3" borderId="13" xfId="0" applyNumberFormat="1" applyFont="1" applyFill="1" applyBorder="1" applyAlignment="1">
      <alignment vertical="center"/>
    </xf>
    <xf numFmtId="3" fontId="29" fillId="3" borderId="14" xfId="0" applyNumberFormat="1" applyFont="1" applyFill="1" applyBorder="1" applyAlignment="1">
      <alignment vertical="center"/>
    </xf>
    <xf numFmtId="3" fontId="29" fillId="0" borderId="14" xfId="0" applyNumberFormat="1" applyFont="1" applyBorder="1" applyAlignment="1">
      <alignment vertical="center"/>
    </xf>
    <xf numFmtId="0" fontId="19" fillId="0" borderId="12" xfId="0" applyFont="1" applyFill="1" applyBorder="1" applyAlignment="1">
      <alignment horizontal="left" vertical="center" wrapText="1"/>
    </xf>
    <xf numFmtId="3" fontId="27" fillId="0" borderId="12" xfId="0" applyNumberFormat="1" applyFont="1" applyBorder="1" applyAlignment="1">
      <alignment vertical="center" wrapText="1"/>
    </xf>
    <xf numFmtId="3" fontId="27" fillId="0" borderId="13" xfId="0" applyNumberFormat="1" applyFont="1" applyBorder="1" applyAlignment="1">
      <alignment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3" fontId="27" fillId="0" borderId="16" xfId="0" applyNumberFormat="1" applyFont="1" applyBorder="1" applyAlignment="1">
      <alignment vertical="center"/>
    </xf>
    <xf numFmtId="3" fontId="17" fillId="0" borderId="16" xfId="0" applyNumberFormat="1" applyFont="1" applyBorder="1" applyAlignment="1">
      <alignment vertical="center"/>
    </xf>
    <xf numFmtId="3" fontId="17" fillId="0" borderId="16" xfId="0" applyNumberFormat="1" applyFont="1" applyFill="1" applyBorder="1" applyAlignment="1">
      <alignment horizontal="right" vertical="center" wrapText="1"/>
    </xf>
    <xf numFmtId="3" fontId="27" fillId="0" borderId="17" xfId="0" applyNumberFormat="1" applyFont="1" applyBorder="1" applyAlignment="1">
      <alignment vertical="center"/>
    </xf>
    <xf numFmtId="0" fontId="28" fillId="3" borderId="0" xfId="0" applyFont="1" applyFill="1" applyBorder="1" applyAlignment="1">
      <alignment vertical="center" wrapText="1"/>
    </xf>
    <xf numFmtId="0" fontId="26" fillId="3" borderId="0" xfId="0" applyFont="1" applyFill="1" applyBorder="1" applyAlignment="1">
      <alignment wrapText="1"/>
    </xf>
    <xf numFmtId="3" fontId="26" fillId="3" borderId="0" xfId="0" applyNumberFormat="1" applyFont="1" applyFill="1" applyBorder="1" applyAlignment="1">
      <alignment vertical="center"/>
    </xf>
    <xf numFmtId="0" fontId="71" fillId="3" borderId="0" xfId="0" applyFont="1" applyFill="1" applyAlignment="1">
      <alignment horizontal="center"/>
    </xf>
    <xf numFmtId="0" fontId="31" fillId="3" borderId="0" xfId="0" applyFont="1" applyFill="1" applyAlignment="1">
      <alignment horizontal="center"/>
    </xf>
    <xf numFmtId="0" fontId="60" fillId="3" borderId="0" xfId="0" applyFont="1" applyFill="1" applyBorder="1" applyAlignment="1">
      <alignment vertical="center" wrapText="1"/>
    </xf>
    <xf numFmtId="3" fontId="60" fillId="3" borderId="0" xfId="0" applyNumberFormat="1" applyFont="1" applyFill="1" applyBorder="1" applyAlignment="1">
      <alignment horizontal="right" vertical="center" wrapText="1"/>
    </xf>
    <xf numFmtId="0" fontId="43" fillId="0" borderId="12" xfId="0" applyFont="1" applyBorder="1" applyAlignment="1">
      <alignment vertical="center" wrapText="1"/>
    </xf>
    <xf numFmtId="0" fontId="43" fillId="0" borderId="13" xfId="0" applyFont="1" applyBorder="1" applyAlignment="1">
      <alignment vertical="center" wrapText="1"/>
    </xf>
    <xf numFmtId="3" fontId="43" fillId="0" borderId="13" xfId="0" applyNumberFormat="1" applyFont="1" applyFill="1" applyBorder="1" applyAlignment="1">
      <alignment vertical="center"/>
    </xf>
    <xf numFmtId="3" fontId="51" fillId="0" borderId="13" xfId="0" applyNumberFormat="1" applyFont="1" applyFill="1" applyBorder="1" applyAlignment="1">
      <alignment vertical="center"/>
    </xf>
    <xf numFmtId="3" fontId="43" fillId="0" borderId="13" xfId="0" applyNumberFormat="1" applyFont="1" applyBorder="1" applyAlignment="1">
      <alignment vertical="center"/>
    </xf>
    <xf numFmtId="3" fontId="43" fillId="0" borderId="14" xfId="0" applyNumberFormat="1" applyFont="1" applyBorder="1" applyAlignment="1">
      <alignment vertical="center"/>
    </xf>
    <xf numFmtId="3" fontId="34" fillId="0" borderId="13" xfId="0" applyNumberFormat="1" applyFont="1" applyFill="1" applyBorder="1" applyAlignment="1">
      <alignment vertical="center"/>
    </xf>
    <xf numFmtId="3" fontId="35" fillId="0" borderId="13" xfId="0" applyNumberFormat="1" applyFont="1" applyFill="1" applyBorder="1" applyAlignment="1">
      <alignment vertical="center"/>
    </xf>
    <xf numFmtId="3" fontId="34" fillId="0" borderId="13" xfId="0" applyNumberFormat="1" applyFont="1" applyBorder="1" applyAlignment="1">
      <alignment vertical="center"/>
    </xf>
    <xf numFmtId="3" fontId="34" fillId="0" borderId="14" xfId="0" applyNumberFormat="1" applyFont="1" applyBorder="1" applyAlignment="1">
      <alignment vertical="center"/>
    </xf>
    <xf numFmtId="3" fontId="43" fillId="0" borderId="13" xfId="0" applyNumberFormat="1" applyFont="1" applyFill="1" applyBorder="1" applyAlignment="1">
      <alignment horizontal="right" vertical="center"/>
    </xf>
    <xf numFmtId="3" fontId="43" fillId="0" borderId="14" xfId="0" applyNumberFormat="1" applyFont="1" applyFill="1" applyBorder="1" applyAlignment="1">
      <alignment vertical="center"/>
    </xf>
    <xf numFmtId="0" fontId="28" fillId="0" borderId="12" xfId="0" applyFont="1" applyFill="1" applyBorder="1" applyAlignment="1">
      <alignment vertical="center" wrapText="1"/>
    </xf>
    <xf numFmtId="0" fontId="28" fillId="0" borderId="13" xfId="0" applyFont="1" applyFill="1" applyBorder="1" applyAlignment="1">
      <alignment vertical="center" wrapText="1"/>
    </xf>
    <xf numFmtId="3" fontId="28" fillId="0" borderId="13" xfId="0" applyNumberFormat="1" applyFont="1" applyFill="1" applyBorder="1" applyAlignment="1">
      <alignment vertical="center"/>
    </xf>
    <xf numFmtId="3" fontId="30" fillId="0" borderId="13" xfId="0" applyNumberFormat="1" applyFont="1" applyFill="1" applyBorder="1" applyAlignment="1">
      <alignment horizontal="right" vertical="center" wrapText="1"/>
    </xf>
    <xf numFmtId="3" fontId="28" fillId="0" borderId="14" xfId="0" applyNumberFormat="1" applyFont="1" applyFill="1" applyBorder="1" applyAlignment="1">
      <alignment vertical="center"/>
    </xf>
    <xf numFmtId="3" fontId="51" fillId="0" borderId="13" xfId="0" applyNumberFormat="1" applyFont="1" applyBorder="1" applyAlignment="1">
      <alignment vertical="center"/>
    </xf>
    <xf numFmtId="3" fontId="61" fillId="0" borderId="13" xfId="0" applyNumberFormat="1" applyFont="1" applyBorder="1" applyAlignment="1">
      <alignment vertical="center"/>
    </xf>
    <xf numFmtId="3" fontId="51" fillId="0" borderId="13" xfId="0" applyNumberFormat="1" applyFont="1" applyFill="1" applyBorder="1" applyAlignment="1">
      <alignment horizontal="right" vertical="center" wrapText="1"/>
    </xf>
    <xf numFmtId="3" fontId="51" fillId="3" borderId="13" xfId="0" applyNumberFormat="1" applyFont="1" applyFill="1" applyBorder="1" applyAlignment="1">
      <alignment horizontal="righ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3" fontId="19" fillId="4" borderId="13" xfId="0" applyNumberFormat="1" applyFont="1" applyFill="1" applyBorder="1" applyAlignment="1">
      <alignment vertical="center"/>
    </xf>
    <xf numFmtId="3" fontId="19" fillId="0" borderId="14" xfId="0" applyNumberFormat="1" applyFont="1" applyBorder="1" applyAlignment="1">
      <alignment vertical="center"/>
    </xf>
    <xf numFmtId="0" fontId="51" fillId="0" borderId="12" xfId="11" applyFont="1" applyFill="1" applyBorder="1" applyAlignment="1">
      <alignment horizontal="left" vertical="center" wrapText="1"/>
    </xf>
    <xf numFmtId="3" fontId="57" fillId="4" borderId="13" xfId="0" applyNumberFormat="1" applyFont="1" applyFill="1" applyBorder="1" applyAlignment="1">
      <alignment vertical="center"/>
    </xf>
    <xf numFmtId="3" fontId="51" fillId="4" borderId="13" xfId="0" applyNumberFormat="1" applyFont="1" applyFill="1" applyBorder="1" applyAlignment="1">
      <alignment vertical="center"/>
    </xf>
    <xf numFmtId="0" fontId="19" fillId="0" borderId="12" xfId="10" applyFont="1" applyFill="1" applyBorder="1" applyAlignment="1">
      <alignment horizontal="left" vertical="center" wrapText="1"/>
    </xf>
    <xf numFmtId="3" fontId="52" fillId="4" borderId="13" xfId="0" applyNumberFormat="1" applyFont="1" applyFill="1" applyBorder="1" applyAlignment="1">
      <alignment vertical="center"/>
    </xf>
    <xf numFmtId="3" fontId="52" fillId="4" borderId="13" xfId="0" applyNumberFormat="1" applyFont="1" applyFill="1" applyBorder="1" applyAlignment="1">
      <alignment horizontal="right" vertical="center" wrapText="1"/>
    </xf>
    <xf numFmtId="3" fontId="19" fillId="4" borderId="13" xfId="0" applyNumberFormat="1" applyFont="1" applyFill="1" applyBorder="1" applyAlignment="1">
      <alignment horizontal="right" vertical="center" wrapText="1"/>
    </xf>
    <xf numFmtId="3" fontId="51" fillId="4" borderId="13" xfId="0" applyNumberFormat="1" applyFont="1" applyFill="1" applyBorder="1" applyAlignment="1">
      <alignment horizontal="right" vertical="center" wrapText="1"/>
    </xf>
    <xf numFmtId="0" fontId="19" fillId="0" borderId="12" xfId="10" applyFont="1" applyFill="1" applyBorder="1" applyAlignment="1">
      <alignment vertical="center" wrapText="1"/>
    </xf>
    <xf numFmtId="3" fontId="18" fillId="0" borderId="13" xfId="0" applyNumberFormat="1" applyFont="1" applyFill="1" applyBorder="1" applyAlignment="1">
      <alignment vertical="center"/>
    </xf>
    <xf numFmtId="3" fontId="19" fillId="0" borderId="14" xfId="0" applyNumberFormat="1" applyFont="1" applyFill="1" applyBorder="1" applyAlignment="1">
      <alignment vertical="center"/>
    </xf>
    <xf numFmtId="3" fontId="50" fillId="0" borderId="13" xfId="0" applyNumberFormat="1" applyFont="1" applyFill="1" applyBorder="1" applyAlignment="1">
      <alignment vertical="center"/>
    </xf>
    <xf numFmtId="3" fontId="30" fillId="0" borderId="14" xfId="0" applyNumberFormat="1" applyFont="1" applyFill="1" applyBorder="1" applyAlignment="1">
      <alignment horizontal="right" vertical="center" wrapText="1"/>
    </xf>
    <xf numFmtId="0" fontId="28" fillId="3" borderId="26"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6" fillId="3" borderId="27" xfId="0" applyFont="1" applyFill="1" applyBorder="1" applyAlignment="1">
      <alignment vertical="center"/>
    </xf>
    <xf numFmtId="0" fontId="31" fillId="3" borderId="27" xfId="0" applyFont="1" applyFill="1" applyBorder="1" applyAlignment="1">
      <alignment horizontal="center"/>
    </xf>
    <xf numFmtId="0" fontId="26" fillId="3" borderId="27" xfId="0" applyFont="1" applyFill="1" applyBorder="1" applyAlignment="1">
      <alignment wrapText="1"/>
    </xf>
    <xf numFmtId="3" fontId="26" fillId="3" borderId="27" xfId="0" applyNumberFormat="1" applyFont="1" applyFill="1" applyBorder="1" applyAlignment="1">
      <alignment vertical="center"/>
    </xf>
    <xf numFmtId="3" fontId="26" fillId="3" borderId="27" xfId="0" applyNumberFormat="1" applyFont="1" applyFill="1" applyBorder="1" applyAlignment="1">
      <alignment wrapText="1"/>
    </xf>
    <xf numFmtId="3" fontId="85" fillId="3" borderId="27" xfId="0" applyNumberFormat="1" applyFont="1" applyFill="1" applyBorder="1" applyAlignment="1">
      <alignment wrapText="1"/>
    </xf>
    <xf numFmtId="0" fontId="19" fillId="0" borderId="15" xfId="11" applyFont="1" applyFill="1" applyBorder="1" applyAlignment="1">
      <alignment horizontal="left" vertical="center" wrapText="1"/>
    </xf>
    <xf numFmtId="0" fontId="19" fillId="0" borderId="16" xfId="0" applyFont="1" applyBorder="1" applyAlignment="1">
      <alignment vertical="center" wrapText="1"/>
    </xf>
    <xf numFmtId="3" fontId="19" fillId="4" borderId="16" xfId="0" applyNumberFormat="1" applyFont="1" applyFill="1" applyBorder="1" applyAlignment="1">
      <alignment vertical="center"/>
    </xf>
    <xf numFmtId="3" fontId="19" fillId="0" borderId="16" xfId="0" applyNumberFormat="1" applyFont="1" applyBorder="1" applyAlignment="1">
      <alignment vertical="center"/>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3" fontId="36" fillId="0" borderId="13" xfId="0" applyNumberFormat="1" applyFont="1" applyFill="1" applyBorder="1" applyAlignment="1">
      <alignment vertical="center"/>
    </xf>
    <xf numFmtId="0" fontId="30" fillId="0" borderId="12" xfId="0" applyFont="1" applyFill="1" applyBorder="1" applyAlignment="1">
      <alignment horizontal="left" vertical="center" wrapText="1"/>
    </xf>
    <xf numFmtId="3" fontId="30" fillId="0" borderId="13" xfId="0" applyNumberFormat="1" applyFont="1" applyFill="1" applyBorder="1" applyAlignment="1">
      <alignment vertical="center"/>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3" fontId="16" fillId="0" borderId="16" xfId="0" applyNumberFormat="1" applyFont="1" applyFill="1" applyBorder="1" applyAlignment="1">
      <alignment vertical="center"/>
    </xf>
    <xf numFmtId="3" fontId="17" fillId="0" borderId="16" xfId="0" applyNumberFormat="1" applyFont="1" applyFill="1" applyBorder="1" applyAlignment="1">
      <alignment vertical="center"/>
    </xf>
    <xf numFmtId="0" fontId="28" fillId="3" borderId="0" xfId="0" applyFont="1" applyFill="1" applyBorder="1" applyAlignment="1">
      <alignment horizontal="center" vertical="center"/>
    </xf>
    <xf numFmtId="0" fontId="45" fillId="3" borderId="0" xfId="0" applyFont="1" applyFill="1" applyAlignment="1">
      <alignment wrapText="1"/>
    </xf>
    <xf numFmtId="0" fontId="31" fillId="3" borderId="0" xfId="0" applyFont="1" applyFill="1" applyAlignment="1">
      <alignment wrapText="1"/>
    </xf>
    <xf numFmtId="0" fontId="10" fillId="3" borderId="0" xfId="0" applyFont="1" applyFill="1" applyAlignment="1">
      <alignment wrapText="1"/>
    </xf>
    <xf numFmtId="0" fontId="17" fillId="0" borderId="12" xfId="10" applyFont="1" applyFill="1" applyBorder="1" applyAlignment="1">
      <alignment vertical="center" wrapText="1"/>
    </xf>
    <xf numFmtId="0" fontId="17" fillId="0" borderId="13" xfId="10" applyFont="1" applyFill="1" applyBorder="1" applyAlignment="1">
      <alignment vertical="center" wrapText="1"/>
    </xf>
    <xf numFmtId="3" fontId="40" fillId="0" borderId="13" xfId="0" applyNumberFormat="1" applyFont="1" applyFill="1" applyBorder="1" applyAlignment="1">
      <alignment vertical="center" wrapText="1"/>
    </xf>
    <xf numFmtId="3" fontId="17" fillId="0" borderId="13" xfId="0" applyNumberFormat="1" applyFont="1" applyFill="1" applyBorder="1" applyAlignment="1">
      <alignment vertical="center" wrapText="1"/>
    </xf>
    <xf numFmtId="3" fontId="40" fillId="0" borderId="14" xfId="0" applyNumberFormat="1" applyFont="1" applyFill="1" applyBorder="1" applyAlignment="1">
      <alignment vertical="center" wrapText="1"/>
    </xf>
    <xf numFmtId="3" fontId="40" fillId="0" borderId="13" xfId="0" applyNumberFormat="1" applyFont="1" applyBorder="1" applyAlignment="1">
      <alignment vertical="center" wrapText="1"/>
    </xf>
    <xf numFmtId="3" fontId="40" fillId="0" borderId="13" xfId="0" applyNumberFormat="1" applyFont="1" applyBorder="1" applyAlignment="1">
      <alignment horizontal="right" vertical="center" wrapText="1"/>
    </xf>
    <xf numFmtId="3" fontId="17" fillId="0" borderId="13" xfId="0" applyNumberFormat="1" applyFont="1" applyBorder="1" applyAlignment="1">
      <alignment horizontal="right" vertical="center" wrapText="1"/>
    </xf>
    <xf numFmtId="3" fontId="27" fillId="0" borderId="13" xfId="0" applyNumberFormat="1" applyFont="1" applyBorder="1" applyAlignment="1">
      <alignment wrapText="1"/>
    </xf>
    <xf numFmtId="165" fontId="40" fillId="3" borderId="13" xfId="0" applyNumberFormat="1" applyFont="1" applyFill="1" applyBorder="1" applyAlignment="1">
      <alignment horizontal="right" vertical="center" wrapText="1"/>
    </xf>
    <xf numFmtId="3" fontId="27" fillId="0" borderId="14" xfId="0" applyNumberFormat="1" applyFont="1" applyBorder="1" applyAlignment="1">
      <alignment wrapText="1"/>
    </xf>
    <xf numFmtId="3" fontId="40" fillId="0" borderId="13" xfId="0" applyNumberFormat="1" applyFont="1" applyFill="1" applyBorder="1" applyAlignment="1">
      <alignment horizontal="right" vertical="center" wrapText="1"/>
    </xf>
    <xf numFmtId="3" fontId="27" fillId="0" borderId="13" xfId="0" applyNumberFormat="1" applyFont="1" applyFill="1" applyBorder="1" applyAlignment="1">
      <alignment wrapText="1"/>
    </xf>
    <xf numFmtId="165" fontId="40" fillId="0" borderId="13" xfId="0" applyNumberFormat="1" applyFont="1" applyFill="1" applyBorder="1" applyAlignment="1">
      <alignment horizontal="right" vertical="center" wrapText="1"/>
    </xf>
    <xf numFmtId="3" fontId="27" fillId="0" borderId="14" xfId="0" applyNumberFormat="1" applyFont="1" applyFill="1" applyBorder="1" applyAlignment="1">
      <alignment wrapText="1"/>
    </xf>
    <xf numFmtId="165" fontId="40" fillId="0" borderId="13" xfId="0" applyNumberFormat="1" applyFont="1" applyBorder="1" applyAlignment="1">
      <alignment horizontal="right" vertical="center" wrapText="1"/>
    </xf>
    <xf numFmtId="165" fontId="17" fillId="0" borderId="13" xfId="0" applyNumberFormat="1" applyFont="1" applyBorder="1" applyAlignment="1">
      <alignment horizontal="right" vertical="center" wrapText="1"/>
    </xf>
    <xf numFmtId="0" fontId="27" fillId="0" borderId="13" xfId="0" applyFont="1" applyBorder="1" applyAlignment="1">
      <alignment wrapText="1"/>
    </xf>
    <xf numFmtId="0" fontId="27" fillId="0" borderId="14" xfId="0" applyFont="1" applyBorder="1" applyAlignment="1">
      <alignment wrapText="1"/>
    </xf>
    <xf numFmtId="165" fontId="17" fillId="0" borderId="13" xfId="0" applyNumberFormat="1" applyFont="1" applyFill="1" applyBorder="1" applyAlignment="1">
      <alignment horizontal="right" vertical="center" wrapText="1"/>
    </xf>
    <xf numFmtId="0" fontId="27" fillId="0" borderId="13" xfId="0" applyFont="1" applyFill="1" applyBorder="1" applyAlignment="1">
      <alignment wrapText="1"/>
    </xf>
    <xf numFmtId="0" fontId="27" fillId="0" borderId="14" xfId="0" applyFont="1" applyFill="1" applyBorder="1" applyAlignment="1">
      <alignment wrapText="1"/>
    </xf>
    <xf numFmtId="3" fontId="27" fillId="0" borderId="13" xfId="0" quotePrefix="1" applyNumberFormat="1" applyFont="1" applyFill="1" applyBorder="1" applyAlignment="1">
      <alignment wrapText="1"/>
    </xf>
    <xf numFmtId="3" fontId="27" fillId="0" borderId="14" xfId="0" quotePrefix="1" applyNumberFormat="1" applyFont="1" applyFill="1" applyBorder="1" applyAlignment="1">
      <alignment wrapText="1"/>
    </xf>
    <xf numFmtId="0" fontId="30" fillId="0" borderId="12" xfId="7" applyFont="1" applyFill="1" applyBorder="1" applyAlignment="1">
      <alignment vertical="center" wrapText="1"/>
    </xf>
    <xf numFmtId="0" fontId="30" fillId="0" borderId="13" xfId="7" applyFont="1" applyFill="1" applyBorder="1" applyAlignment="1">
      <alignment vertical="center" wrapText="1"/>
    </xf>
    <xf numFmtId="3" fontId="48" fillId="0" borderId="13" xfId="0" applyNumberFormat="1" applyFont="1" applyFill="1" applyBorder="1" applyAlignment="1">
      <alignment vertical="center" wrapText="1"/>
    </xf>
    <xf numFmtId="165" fontId="48" fillId="0" borderId="13" xfId="0" applyNumberFormat="1" applyFont="1" applyFill="1" applyBorder="1" applyAlignment="1">
      <alignment horizontal="right" vertical="center" wrapText="1"/>
    </xf>
    <xf numFmtId="165" fontId="30" fillId="0" borderId="13" xfId="0" applyNumberFormat="1" applyFont="1" applyFill="1" applyBorder="1" applyAlignment="1">
      <alignment horizontal="right" vertical="center" wrapText="1"/>
    </xf>
    <xf numFmtId="3" fontId="28" fillId="0" borderId="13" xfId="0" applyNumberFormat="1" applyFont="1" applyFill="1" applyBorder="1" applyAlignment="1">
      <alignment wrapText="1"/>
    </xf>
    <xf numFmtId="3" fontId="28" fillId="0" borderId="13" xfId="0" quotePrefix="1" applyNumberFormat="1" applyFont="1" applyFill="1" applyBorder="1" applyAlignment="1">
      <alignment wrapText="1"/>
    </xf>
    <xf numFmtId="3" fontId="28" fillId="0" borderId="14" xfId="0" quotePrefix="1" applyNumberFormat="1" applyFont="1" applyFill="1" applyBorder="1" applyAlignment="1">
      <alignment wrapText="1"/>
    </xf>
    <xf numFmtId="0" fontId="17" fillId="0" borderId="15" xfId="10" applyFont="1" applyFill="1" applyBorder="1" applyAlignment="1">
      <alignment vertical="center" wrapText="1"/>
    </xf>
    <xf numFmtId="0" fontId="17" fillId="0" borderId="16" xfId="10" applyFont="1" applyFill="1" applyBorder="1" applyAlignment="1">
      <alignment vertical="center" wrapText="1"/>
    </xf>
    <xf numFmtId="3" fontId="40" fillId="0" borderId="16" xfId="0" applyNumberFormat="1" applyFont="1" applyFill="1" applyBorder="1" applyAlignment="1">
      <alignment vertical="center" wrapText="1"/>
    </xf>
    <xf numFmtId="3" fontId="17" fillId="0" borderId="16" xfId="0" applyNumberFormat="1" applyFont="1" applyFill="1" applyBorder="1" applyAlignment="1">
      <alignment vertical="center" wrapText="1"/>
    </xf>
    <xf numFmtId="3" fontId="40" fillId="0" borderId="17" xfId="0" applyNumberFormat="1" applyFont="1" applyFill="1" applyBorder="1" applyAlignment="1">
      <alignment vertical="center" wrapText="1"/>
    </xf>
    <xf numFmtId="0" fontId="26" fillId="8" borderId="0" xfId="0" applyFont="1" applyFill="1" applyBorder="1" applyAlignment="1">
      <alignment horizontal="center" wrapText="1"/>
    </xf>
    <xf numFmtId="0" fontId="29" fillId="8" borderId="0" xfId="0" applyFont="1" applyFill="1" applyBorder="1" applyAlignment="1">
      <alignment wrapText="1"/>
    </xf>
    <xf numFmtId="0" fontId="10" fillId="8" borderId="0" xfId="0" applyFont="1" applyFill="1" applyBorder="1" applyAlignment="1">
      <alignment horizontal="center" wrapText="1"/>
    </xf>
    <xf numFmtId="0" fontId="14" fillId="8" borderId="0" xfId="0" applyFont="1" applyFill="1" applyBorder="1" applyAlignment="1">
      <alignment wrapText="1"/>
    </xf>
    <xf numFmtId="1" fontId="40" fillId="0" borderId="13" xfId="0" applyNumberFormat="1" applyFont="1" applyFill="1" applyBorder="1" applyAlignment="1">
      <alignment horizontal="right" vertical="center" wrapText="1"/>
    </xf>
    <xf numFmtId="1" fontId="17" fillId="0" borderId="13" xfId="0" applyNumberFormat="1" applyFont="1" applyFill="1" applyBorder="1" applyAlignment="1">
      <alignment horizontal="right" vertical="center" wrapText="1"/>
    </xf>
    <xf numFmtId="1" fontId="40" fillId="3" borderId="13" xfId="0" applyNumberFormat="1" applyFont="1" applyFill="1" applyBorder="1" applyAlignment="1">
      <alignment horizontal="right" vertical="center" wrapText="1"/>
    </xf>
    <xf numFmtId="1" fontId="40" fillId="3" borderId="14" xfId="0" applyNumberFormat="1" applyFont="1" applyFill="1" applyBorder="1" applyAlignment="1">
      <alignment horizontal="right" vertical="center" wrapText="1"/>
    </xf>
    <xf numFmtId="1" fontId="40" fillId="0" borderId="14" xfId="0" applyNumberFormat="1" applyFont="1" applyFill="1" applyBorder="1" applyAlignment="1">
      <alignment horizontal="right" vertical="center" wrapText="1"/>
    </xf>
    <xf numFmtId="1" fontId="17" fillId="3" borderId="13" xfId="0" applyNumberFormat="1" applyFont="1" applyFill="1" applyBorder="1" applyAlignment="1">
      <alignment horizontal="right" vertical="center" wrapText="1"/>
    </xf>
    <xf numFmtId="165" fontId="48" fillId="0" borderId="13" xfId="0" applyNumberFormat="1" applyFont="1" applyFill="1" applyBorder="1" applyAlignment="1">
      <alignment horizontal="left" vertical="center" wrapText="1"/>
    </xf>
    <xf numFmtId="0" fontId="28" fillId="0" borderId="18" xfId="0" applyFont="1" applyFill="1" applyBorder="1" applyAlignment="1">
      <alignment vertical="center" wrapText="1"/>
    </xf>
    <xf numFmtId="0" fontId="28" fillId="0" borderId="8" xfId="0" applyFont="1" applyFill="1" applyBorder="1" applyAlignment="1">
      <alignment vertical="center" wrapText="1"/>
    </xf>
    <xf numFmtId="3" fontId="28" fillId="0" borderId="8" xfId="0" applyNumberFormat="1" applyFont="1" applyFill="1" applyBorder="1" applyAlignment="1">
      <alignment vertical="center"/>
    </xf>
    <xf numFmtId="3" fontId="30" fillId="0" borderId="8" xfId="0" applyNumberFormat="1" applyFont="1" applyFill="1" applyBorder="1" applyAlignment="1">
      <alignment vertical="center"/>
    </xf>
    <xf numFmtId="3" fontId="30" fillId="0" borderId="8" xfId="0" applyNumberFormat="1" applyFont="1" applyFill="1" applyBorder="1" applyAlignment="1">
      <alignment horizontal="right" vertical="center" wrapText="1"/>
    </xf>
    <xf numFmtId="3" fontId="28" fillId="0" borderId="19" xfId="0" applyNumberFormat="1" applyFont="1" applyFill="1" applyBorder="1" applyAlignment="1">
      <alignment vertical="center"/>
    </xf>
    <xf numFmtId="1" fontId="40" fillId="0" borderId="16" xfId="0" applyNumberFormat="1" applyFont="1" applyFill="1" applyBorder="1" applyAlignment="1">
      <alignment horizontal="right" vertical="center" wrapText="1"/>
    </xf>
    <xf numFmtId="1" fontId="17" fillId="0" borderId="16" xfId="0" applyNumberFormat="1" applyFont="1" applyFill="1" applyBorder="1" applyAlignment="1">
      <alignment horizontal="right" vertical="center" wrapText="1"/>
    </xf>
    <xf numFmtId="1" fontId="40" fillId="3" borderId="16" xfId="0" applyNumberFormat="1" applyFont="1" applyFill="1" applyBorder="1" applyAlignment="1">
      <alignment horizontal="right" vertical="center" wrapText="1"/>
    </xf>
    <xf numFmtId="1" fontId="40" fillId="3" borderId="17" xfId="0" applyNumberFormat="1" applyFont="1" applyFill="1" applyBorder="1" applyAlignment="1">
      <alignment horizontal="right" vertical="center" wrapText="1"/>
    </xf>
    <xf numFmtId="0" fontId="28" fillId="0" borderId="18" xfId="12" applyFont="1" applyFill="1" applyBorder="1" applyAlignment="1">
      <alignment vertical="center" wrapText="1"/>
    </xf>
    <xf numFmtId="0" fontId="28" fillId="0" borderId="8" xfId="12" applyFont="1" applyFill="1" applyBorder="1" applyAlignment="1">
      <alignment vertical="center" wrapText="1"/>
    </xf>
    <xf numFmtId="3" fontId="28" fillId="0" borderId="8" xfId="12" applyNumberFormat="1" applyFont="1" applyFill="1" applyBorder="1" applyAlignment="1">
      <alignment vertical="center"/>
    </xf>
    <xf numFmtId="3" fontId="30" fillId="0" borderId="8" xfId="12" applyNumberFormat="1" applyFont="1" applyFill="1" applyBorder="1" applyAlignment="1">
      <alignment horizontal="right" vertical="center" wrapText="1"/>
    </xf>
    <xf numFmtId="3" fontId="30" fillId="0" borderId="19" xfId="12" applyNumberFormat="1" applyFont="1" applyFill="1" applyBorder="1" applyAlignment="1">
      <alignment horizontal="right" vertical="center" wrapText="1"/>
    </xf>
    <xf numFmtId="0" fontId="27" fillId="0" borderId="12" xfId="12" applyFont="1" applyBorder="1" applyAlignment="1">
      <alignment vertical="center" wrapText="1"/>
    </xf>
    <xf numFmtId="0" fontId="27" fillId="0" borderId="13" xfId="12" applyFont="1" applyBorder="1" applyAlignment="1">
      <alignment vertical="center" wrapText="1"/>
    </xf>
    <xf numFmtId="3" fontId="27" fillId="0" borderId="13" xfId="12" applyNumberFormat="1" applyFont="1" applyBorder="1" applyAlignment="1">
      <alignment vertical="center"/>
    </xf>
    <xf numFmtId="3" fontId="27" fillId="0" borderId="13" xfId="12" applyNumberFormat="1" applyFont="1" applyFill="1" applyBorder="1" applyAlignment="1">
      <alignment vertical="center"/>
    </xf>
    <xf numFmtId="3" fontId="27" fillId="0" borderId="14" xfId="12" applyNumberFormat="1" applyFont="1" applyBorder="1" applyAlignment="1">
      <alignment vertical="center"/>
    </xf>
    <xf numFmtId="0" fontId="16" fillId="0" borderId="13" xfId="12" applyFont="1" applyFill="1" applyBorder="1" applyAlignment="1">
      <alignment vertical="center" wrapText="1"/>
    </xf>
    <xf numFmtId="3" fontId="16" fillId="0" borderId="13" xfId="12" applyNumberFormat="1" applyFont="1" applyFill="1" applyBorder="1" applyAlignment="1">
      <alignment vertical="center"/>
    </xf>
    <xf numFmtId="3" fontId="16" fillId="0" borderId="13" xfId="12" applyNumberFormat="1" applyFont="1" applyFill="1" applyBorder="1" applyAlignment="1">
      <alignment horizontal="right" vertical="center" wrapText="1"/>
    </xf>
    <xf numFmtId="3" fontId="16" fillId="3" borderId="13" xfId="12" applyNumberFormat="1" applyFont="1" applyFill="1" applyBorder="1" applyAlignment="1">
      <alignment vertical="center"/>
    </xf>
    <xf numFmtId="3" fontId="16" fillId="3" borderId="14" xfId="12" applyNumberFormat="1" applyFont="1" applyFill="1" applyBorder="1" applyAlignment="1">
      <alignment vertical="center"/>
    </xf>
    <xf numFmtId="3" fontId="17" fillId="0" borderId="13" xfId="12" applyNumberFormat="1" applyFont="1" applyFill="1" applyBorder="1" applyAlignment="1">
      <alignment horizontal="right" vertical="center" wrapText="1"/>
    </xf>
    <xf numFmtId="3" fontId="17" fillId="0" borderId="14" xfId="12" applyNumberFormat="1" applyFont="1" applyFill="1" applyBorder="1" applyAlignment="1">
      <alignment horizontal="right" vertical="center" wrapText="1"/>
    </xf>
    <xf numFmtId="3" fontId="27" fillId="0" borderId="13" xfId="12" applyNumberFormat="1" applyFont="1" applyBorder="1" applyAlignment="1">
      <alignment vertical="center" wrapText="1"/>
    </xf>
    <xf numFmtId="0" fontId="27" fillId="4" borderId="13" xfId="12" applyFont="1" applyFill="1" applyBorder="1" applyAlignment="1">
      <alignment vertical="center"/>
    </xf>
    <xf numFmtId="3" fontId="27" fillId="4" borderId="13" xfId="12" applyNumberFormat="1" applyFont="1" applyFill="1" applyBorder="1" applyAlignment="1">
      <alignment vertical="center"/>
    </xf>
    <xf numFmtId="3" fontId="17" fillId="4" borderId="13" xfId="12" applyNumberFormat="1" applyFont="1" applyFill="1" applyBorder="1" applyAlignment="1">
      <alignment vertical="center"/>
    </xf>
    <xf numFmtId="3" fontId="27" fillId="3" borderId="13" xfId="12" applyNumberFormat="1" applyFont="1" applyFill="1" applyBorder="1" applyAlignment="1">
      <alignment vertical="center"/>
    </xf>
    <xf numFmtId="3" fontId="27" fillId="4" borderId="14" xfId="12" applyNumberFormat="1" applyFont="1" applyFill="1" applyBorder="1" applyAlignment="1">
      <alignment vertical="center"/>
    </xf>
    <xf numFmtId="0" fontId="27" fillId="0" borderId="13" xfId="12" applyFont="1" applyBorder="1" applyAlignment="1">
      <alignment horizontal="left" vertical="center" wrapText="1"/>
    </xf>
    <xf numFmtId="0" fontId="16" fillId="0" borderId="12" xfId="12" applyFont="1" applyFill="1" applyBorder="1" applyAlignment="1">
      <alignment vertical="center" wrapText="1"/>
    </xf>
    <xf numFmtId="0" fontId="27" fillId="4" borderId="13" xfId="12" applyFont="1" applyFill="1" applyBorder="1" applyAlignment="1">
      <alignment wrapText="1"/>
    </xf>
    <xf numFmtId="3" fontId="27" fillId="4" borderId="13" xfId="12" applyNumberFormat="1" applyFont="1" applyFill="1" applyBorder="1" applyAlignment="1">
      <alignment wrapText="1"/>
    </xf>
    <xf numFmtId="3" fontId="27" fillId="3" borderId="13" xfId="12" applyNumberFormat="1" applyFont="1" applyFill="1" applyBorder="1" applyAlignment="1">
      <alignment wrapText="1"/>
    </xf>
    <xf numFmtId="3" fontId="27" fillId="3" borderId="14" xfId="12" applyNumberFormat="1" applyFont="1" applyFill="1" applyBorder="1" applyAlignment="1">
      <alignment wrapText="1"/>
    </xf>
    <xf numFmtId="0" fontId="28" fillId="0" borderId="13" xfId="12" applyFont="1" applyFill="1" applyBorder="1" applyAlignment="1">
      <alignment wrapText="1"/>
    </xf>
    <xf numFmtId="3" fontId="28" fillId="0" borderId="13" xfId="12" applyNumberFormat="1" applyFont="1" applyFill="1" applyBorder="1" applyAlignment="1">
      <alignment vertical="center"/>
    </xf>
    <xf numFmtId="1" fontId="28" fillId="0" borderId="13" xfId="12" applyNumberFormat="1" applyFont="1" applyFill="1" applyBorder="1" applyAlignment="1">
      <alignment wrapText="1"/>
    </xf>
    <xf numFmtId="3" fontId="28" fillId="0" borderId="13" xfId="12" applyNumberFormat="1" applyFont="1" applyFill="1" applyBorder="1" applyAlignment="1">
      <alignment wrapText="1"/>
    </xf>
    <xf numFmtId="3" fontId="28" fillId="0" borderId="14" xfId="12" applyNumberFormat="1" applyFont="1" applyFill="1" applyBorder="1" applyAlignment="1">
      <alignment wrapText="1"/>
    </xf>
    <xf numFmtId="0" fontId="27" fillId="0" borderId="15" xfId="12" applyFont="1" applyBorder="1" applyAlignment="1">
      <alignment vertical="center" wrapText="1"/>
    </xf>
    <xf numFmtId="0" fontId="27" fillId="0" borderId="16" xfId="12" applyFont="1" applyBorder="1" applyAlignment="1">
      <alignment vertical="center" wrapText="1"/>
    </xf>
    <xf numFmtId="3" fontId="27" fillId="0" borderId="16" xfId="12" applyNumberFormat="1" applyFont="1" applyBorder="1" applyAlignment="1">
      <alignment vertical="center"/>
    </xf>
    <xf numFmtId="3" fontId="27" fillId="0" borderId="16" xfId="12" applyNumberFormat="1" applyFont="1" applyFill="1" applyBorder="1" applyAlignment="1">
      <alignment vertical="center"/>
    </xf>
    <xf numFmtId="3" fontId="17" fillId="0" borderId="16" xfId="12" applyNumberFormat="1" applyFont="1" applyBorder="1" applyAlignment="1">
      <alignment vertical="center"/>
    </xf>
    <xf numFmtId="3" fontId="27" fillId="0" borderId="17" xfId="12" applyNumberFormat="1" applyFont="1" applyBorder="1" applyAlignment="1">
      <alignment vertical="center"/>
    </xf>
    <xf numFmtId="0" fontId="28" fillId="0" borderId="18" xfId="12" applyFont="1" applyFill="1" applyBorder="1" applyAlignment="1">
      <alignment horizontal="center" vertical="center"/>
    </xf>
    <xf numFmtId="0" fontId="28" fillId="0" borderId="8" xfId="12" applyFont="1" applyFill="1" applyBorder="1" applyAlignment="1">
      <alignment horizontal="center" vertical="center"/>
    </xf>
    <xf numFmtId="3" fontId="28" fillId="0" borderId="8" xfId="12" applyNumberFormat="1" applyFont="1" applyFill="1" applyBorder="1" applyAlignment="1">
      <alignment horizontal="center" vertical="center"/>
    </xf>
    <xf numFmtId="3" fontId="28" fillId="0" borderId="19" xfId="12" applyNumberFormat="1" applyFont="1" applyFill="1" applyBorder="1" applyAlignment="1">
      <alignment horizontal="center" vertical="center"/>
    </xf>
    <xf numFmtId="3" fontId="17" fillId="3" borderId="13" xfId="12" applyNumberFormat="1" applyFont="1" applyFill="1" applyBorder="1" applyAlignment="1">
      <alignment vertical="center"/>
    </xf>
    <xf numFmtId="3" fontId="17" fillId="3" borderId="14" xfId="12" applyNumberFormat="1" applyFont="1" applyFill="1" applyBorder="1" applyAlignment="1">
      <alignment vertical="center"/>
    </xf>
    <xf numFmtId="3" fontId="27" fillId="0" borderId="14" xfId="12" applyNumberFormat="1" applyFont="1" applyFill="1" applyBorder="1" applyAlignment="1">
      <alignment vertical="center"/>
    </xf>
    <xf numFmtId="3" fontId="16" fillId="4" borderId="13" xfId="12" applyNumberFormat="1" applyFont="1" applyFill="1" applyBorder="1" applyAlignment="1">
      <alignment vertical="center"/>
    </xf>
    <xf numFmtId="3" fontId="16" fillId="8" borderId="13" xfId="12" applyNumberFormat="1" applyFont="1" applyFill="1" applyBorder="1" applyAlignment="1">
      <alignment horizontal="right" vertical="center" wrapText="1"/>
    </xf>
    <xf numFmtId="3" fontId="16" fillId="0" borderId="14" xfId="12" applyNumberFormat="1" applyFont="1" applyFill="1" applyBorder="1" applyAlignment="1">
      <alignment vertical="center"/>
    </xf>
    <xf numFmtId="3" fontId="16" fillId="4" borderId="13" xfId="12" applyNumberFormat="1" applyFont="1" applyFill="1" applyBorder="1" applyAlignment="1">
      <alignment horizontal="right" vertical="center" wrapText="1"/>
    </xf>
    <xf numFmtId="0" fontId="28" fillId="0" borderId="12" xfId="12" applyFont="1" applyFill="1" applyBorder="1" applyAlignment="1">
      <alignment vertical="center" wrapText="1"/>
    </xf>
    <xf numFmtId="0" fontId="28" fillId="0" borderId="13" xfId="12" applyFont="1" applyFill="1" applyBorder="1" applyAlignment="1">
      <alignment vertical="center" wrapText="1"/>
    </xf>
    <xf numFmtId="3" fontId="30" fillId="0" borderId="13" xfId="12" applyNumberFormat="1" applyFont="1" applyFill="1" applyBorder="1" applyAlignment="1">
      <alignment horizontal="right" vertical="center" wrapText="1"/>
    </xf>
    <xf numFmtId="3" fontId="30" fillId="0" borderId="14" xfId="12" applyNumberFormat="1" applyFont="1" applyFill="1" applyBorder="1" applyAlignment="1">
      <alignment horizontal="right" vertical="center" wrapText="1"/>
    </xf>
    <xf numFmtId="0" fontId="28" fillId="3" borderId="0" xfId="12" applyFont="1" applyFill="1" applyAlignment="1">
      <alignment vertical="center" wrapText="1"/>
    </xf>
    <xf numFmtId="0" fontId="83" fillId="3" borderId="0" xfId="12" applyFont="1" applyFill="1" applyAlignment="1">
      <alignment horizontal="center"/>
    </xf>
    <xf numFmtId="3" fontId="57" fillId="3" borderId="0" xfId="12" applyNumberFormat="1" applyFont="1" applyFill="1" applyBorder="1" applyAlignment="1">
      <alignment vertical="center"/>
    </xf>
    <xf numFmtId="0" fontId="24" fillId="3" borderId="0" xfId="12" applyFont="1" applyFill="1" applyAlignment="1">
      <alignment vertical="center" wrapText="1"/>
    </xf>
    <xf numFmtId="0" fontId="24" fillId="3" borderId="0" xfId="12" applyFont="1" applyFill="1" applyAlignment="1">
      <alignment vertical="center"/>
    </xf>
    <xf numFmtId="0" fontId="55" fillId="3" borderId="0" xfId="12" applyFont="1" applyFill="1" applyAlignment="1">
      <alignment vertical="center" wrapText="1"/>
    </xf>
    <xf numFmtId="0" fontId="82" fillId="3" borderId="0" xfId="12" applyFont="1" applyFill="1" applyAlignment="1">
      <alignment vertical="center" wrapText="1"/>
    </xf>
    <xf numFmtId="0" fontId="26" fillId="3" borderId="0" xfId="12" applyFont="1" applyFill="1" applyAlignment="1">
      <alignment vertical="center" wrapText="1"/>
    </xf>
    <xf numFmtId="0" fontId="24" fillId="3" borderId="0" xfId="0" applyFont="1" applyFill="1" applyAlignment="1">
      <alignment vertical="center"/>
    </xf>
    <xf numFmtId="0" fontId="71" fillId="3" borderId="0" xfId="0" applyFont="1" applyFill="1" applyAlignment="1">
      <alignment vertical="center"/>
    </xf>
    <xf numFmtId="3" fontId="28" fillId="3" borderId="0" xfId="0" applyNumberFormat="1" applyFont="1" applyFill="1" applyBorder="1" applyAlignment="1">
      <alignment vertical="center"/>
    </xf>
    <xf numFmtId="3" fontId="17" fillId="0" borderId="14" xfId="0" applyNumberFormat="1" applyFont="1" applyFill="1" applyBorder="1" applyAlignment="1">
      <alignment horizontal="right" vertical="center" wrapText="1"/>
    </xf>
    <xf numFmtId="0" fontId="27" fillId="0" borderId="12" xfId="0" applyFont="1" applyFill="1" applyBorder="1" applyAlignment="1">
      <alignment vertical="center" wrapText="1"/>
    </xf>
    <xf numFmtId="0" fontId="27" fillId="0" borderId="13" xfId="0" applyFont="1" applyFill="1" applyBorder="1" applyAlignment="1">
      <alignment vertical="center" wrapText="1"/>
    </xf>
    <xf numFmtId="3" fontId="27" fillId="0" borderId="14" xfId="0" applyNumberFormat="1" applyFont="1" applyFill="1" applyBorder="1" applyAlignment="1">
      <alignment vertical="center"/>
    </xf>
    <xf numFmtId="0" fontId="43" fillId="0" borderId="12" xfId="0" applyFont="1" applyFill="1" applyBorder="1" applyAlignment="1">
      <alignment vertical="center" wrapText="1"/>
    </xf>
    <xf numFmtId="0" fontId="43" fillId="0" borderId="13" xfId="0" applyFont="1" applyFill="1" applyBorder="1" applyAlignment="1">
      <alignment vertical="center" wrapText="1"/>
    </xf>
    <xf numFmtId="0" fontId="50" fillId="0" borderId="12" xfId="0" applyFont="1" applyFill="1" applyBorder="1" applyAlignment="1">
      <alignment vertical="center" wrapText="1"/>
    </xf>
    <xf numFmtId="3" fontId="43" fillId="0" borderId="13" xfId="0" applyNumberFormat="1" applyFont="1" applyFill="1" applyBorder="1" applyAlignment="1">
      <alignment vertical="center" wrapText="1"/>
    </xf>
    <xf numFmtId="3" fontId="27" fillId="0" borderId="13" xfId="0" applyNumberFormat="1" applyFont="1" applyFill="1" applyBorder="1" applyAlignment="1">
      <alignment vertical="center" wrapText="1"/>
    </xf>
    <xf numFmtId="0" fontId="58" fillId="0" borderId="12" xfId="0" applyFont="1" applyFill="1" applyBorder="1" applyAlignment="1">
      <alignment vertical="center" wrapText="1"/>
    </xf>
    <xf numFmtId="0" fontId="58" fillId="0" borderId="13" xfId="0" applyFont="1" applyFill="1" applyBorder="1" applyAlignment="1">
      <alignment vertical="center" wrapText="1"/>
    </xf>
    <xf numFmtId="3" fontId="28" fillId="0" borderId="14" xfId="0" applyNumberFormat="1" applyFont="1" applyFill="1" applyBorder="1" applyAlignment="1">
      <alignment wrapText="1"/>
    </xf>
    <xf numFmtId="0" fontId="43" fillId="0" borderId="13" xfId="0" applyFont="1" applyBorder="1" applyAlignment="1">
      <alignment vertical="center"/>
    </xf>
    <xf numFmtId="0" fontId="28" fillId="0" borderId="13" xfId="0" applyFont="1" applyFill="1" applyBorder="1" applyAlignment="1">
      <alignment vertical="center"/>
    </xf>
    <xf numFmtId="0" fontId="27" fillId="0" borderId="16" xfId="0" applyFont="1" applyBorder="1" applyAlignment="1">
      <alignment vertical="center"/>
    </xf>
    <xf numFmtId="0" fontId="28" fillId="0" borderId="19" xfId="0" applyFont="1" applyFill="1" applyBorder="1" applyAlignment="1">
      <alignment horizontal="center" vertical="center"/>
    </xf>
    <xf numFmtId="0" fontId="28" fillId="3" borderId="0" xfId="0" applyFont="1" applyFill="1" applyAlignment="1">
      <alignment vertical="center" wrapText="1"/>
    </xf>
    <xf numFmtId="3" fontId="40" fillId="3" borderId="13" xfId="0" applyNumberFormat="1" applyFont="1" applyFill="1" applyBorder="1" applyAlignment="1">
      <alignment horizontal="right" vertical="center" wrapText="1"/>
    </xf>
    <xf numFmtId="3" fontId="27" fillId="0" borderId="13" xfId="0" applyNumberFormat="1" applyFont="1" applyFill="1" applyBorder="1" applyAlignment="1">
      <alignment horizontal="right" wrapText="1"/>
    </xf>
    <xf numFmtId="3" fontId="17" fillId="0" borderId="13" xfId="0" applyNumberFormat="1" applyFont="1" applyBorder="1" applyAlignment="1">
      <alignment horizontal="right" vertical="center"/>
    </xf>
    <xf numFmtId="3" fontId="17" fillId="0" borderId="14" xfId="0" applyNumberFormat="1" applyFont="1" applyBorder="1" applyAlignment="1">
      <alignment vertical="center"/>
    </xf>
    <xf numFmtId="49" fontId="36" fillId="0" borderId="12" xfId="0" applyNumberFormat="1" applyFont="1" applyBorder="1" applyAlignment="1">
      <alignment horizontal="left" vertical="center" wrapText="1"/>
    </xf>
    <xf numFmtId="0" fontId="36" fillId="0" borderId="13" xfId="0" applyFont="1" applyFill="1" applyBorder="1" applyAlignment="1">
      <alignment horizontal="left" vertical="center" wrapText="1"/>
    </xf>
    <xf numFmtId="3" fontId="34" fillId="4" borderId="13" xfId="0" applyNumberFormat="1" applyFont="1" applyFill="1" applyBorder="1" applyAlignment="1">
      <alignment vertical="center"/>
    </xf>
    <xf numFmtId="3" fontId="38" fillId="4" borderId="13" xfId="0" applyNumberFormat="1" applyFont="1" applyFill="1" applyBorder="1" applyAlignment="1">
      <alignment horizontal="right" vertical="center" wrapText="1"/>
    </xf>
    <xf numFmtId="3" fontId="34" fillId="4" borderId="13" xfId="0" applyNumberFormat="1" applyFont="1" applyFill="1" applyBorder="1" applyAlignment="1">
      <alignment horizontal="right" wrapText="1"/>
    </xf>
    <xf numFmtId="3" fontId="35" fillId="4" borderId="13" xfId="0" applyNumberFormat="1" applyFont="1" applyFill="1" applyBorder="1" applyAlignment="1">
      <alignment horizontal="right" vertical="center"/>
    </xf>
    <xf numFmtId="3" fontId="35" fillId="0" borderId="13" xfId="0" applyNumberFormat="1" applyFont="1" applyBorder="1" applyAlignment="1">
      <alignment vertical="center"/>
    </xf>
    <xf numFmtId="3" fontId="35" fillId="0" borderId="14" xfId="0" applyNumberFormat="1" applyFont="1" applyBorder="1" applyAlignment="1">
      <alignment vertical="center"/>
    </xf>
    <xf numFmtId="49" fontId="36" fillId="0" borderId="13" xfId="0" applyNumberFormat="1" applyFont="1" applyFill="1" applyBorder="1" applyAlignment="1">
      <alignment horizontal="left" vertical="center" wrapText="1"/>
    </xf>
    <xf numFmtId="3" fontId="79" fillId="4" borderId="13" xfId="0" applyNumberFormat="1" applyFont="1" applyFill="1" applyBorder="1" applyAlignment="1">
      <alignment horizontal="right" vertical="center"/>
    </xf>
    <xf numFmtId="3" fontId="35" fillId="4" borderId="14" xfId="0" applyNumberFormat="1" applyFont="1" applyFill="1" applyBorder="1" applyAlignment="1">
      <alignment horizontal="right" vertical="center"/>
    </xf>
    <xf numFmtId="3" fontId="35" fillId="0" borderId="13" xfId="0" applyNumberFormat="1" applyFont="1" applyFill="1" applyBorder="1" applyAlignment="1">
      <alignment horizontal="right" vertical="center"/>
    </xf>
    <xf numFmtId="0" fontId="16" fillId="0" borderId="12" xfId="0" applyFont="1" applyBorder="1" applyAlignment="1">
      <alignment horizontal="left" vertical="center" wrapText="1"/>
    </xf>
    <xf numFmtId="0" fontId="16" fillId="0" borderId="13" xfId="0" applyFont="1" applyFill="1" applyBorder="1" applyAlignment="1">
      <alignment horizontal="left" vertical="center" wrapText="1"/>
    </xf>
    <xf numFmtId="3" fontId="63" fillId="0" borderId="13" xfId="0" applyNumberFormat="1" applyFont="1" applyBorder="1" applyAlignment="1">
      <alignment vertical="center"/>
    </xf>
    <xf numFmtId="3" fontId="27" fillId="0" borderId="13" xfId="0" applyNumberFormat="1" applyFont="1" applyFill="1" applyBorder="1" applyAlignment="1">
      <alignment horizontal="right" vertical="center" wrapText="1"/>
    </xf>
    <xf numFmtId="3" fontId="17" fillId="4" borderId="13" xfId="0" applyNumberFormat="1" applyFont="1" applyFill="1" applyBorder="1" applyAlignment="1">
      <alignment vertical="center"/>
    </xf>
    <xf numFmtId="3" fontId="63" fillId="4" borderId="13" xfId="0" applyNumberFormat="1" applyFont="1" applyFill="1" applyBorder="1" applyAlignment="1">
      <alignment vertical="center"/>
    </xf>
    <xf numFmtId="3" fontId="17" fillId="4" borderId="14" xfId="0" applyNumberFormat="1" applyFont="1" applyFill="1" applyBorder="1" applyAlignment="1">
      <alignment vertical="center"/>
    </xf>
    <xf numFmtId="3" fontId="40" fillId="4" borderId="13" xfId="0" applyNumberFormat="1" applyFont="1" applyFill="1" applyBorder="1" applyAlignment="1">
      <alignment horizontal="right" vertical="center" wrapText="1"/>
    </xf>
    <xf numFmtId="3" fontId="27" fillId="4" borderId="13" xfId="0" applyNumberFormat="1" applyFont="1" applyFill="1" applyBorder="1" applyAlignment="1">
      <alignment horizontal="right" vertical="center" wrapText="1"/>
    </xf>
    <xf numFmtId="3" fontId="17" fillId="4" borderId="13" xfId="0" applyNumberFormat="1" applyFont="1" applyFill="1" applyBorder="1" applyAlignment="1">
      <alignment horizontal="right" vertical="center"/>
    </xf>
    <xf numFmtId="3" fontId="17" fillId="0" borderId="14" xfId="0" applyNumberFormat="1" applyFont="1" applyFill="1" applyBorder="1" applyAlignment="1">
      <alignment vertical="center"/>
    </xf>
    <xf numFmtId="3" fontId="24" fillId="4" borderId="13" xfId="0" applyNumberFormat="1" applyFont="1" applyFill="1" applyBorder="1" applyAlignment="1">
      <alignment vertical="center"/>
    </xf>
    <xf numFmtId="3" fontId="24" fillId="4" borderId="13" xfId="0" applyNumberFormat="1" applyFont="1" applyFill="1" applyBorder="1" applyAlignment="1">
      <alignment horizontal="right" vertical="center" wrapText="1"/>
    </xf>
    <xf numFmtId="3" fontId="37" fillId="4" borderId="13" xfId="0" applyNumberFormat="1" applyFont="1" applyFill="1" applyBorder="1" applyAlignment="1">
      <alignment vertical="center"/>
    </xf>
    <xf numFmtId="3" fontId="37" fillId="4" borderId="13" xfId="0" applyNumberFormat="1" applyFont="1" applyFill="1" applyBorder="1" applyAlignment="1">
      <alignment horizontal="right" vertical="center" wrapText="1"/>
    </xf>
    <xf numFmtId="3" fontId="35" fillId="0" borderId="13" xfId="0" applyNumberFormat="1" applyFont="1" applyBorder="1" applyAlignment="1">
      <alignment horizontal="right" vertical="center"/>
    </xf>
    <xf numFmtId="3" fontId="35" fillId="4" borderId="13" xfId="0" applyNumberFormat="1" applyFont="1" applyFill="1" applyBorder="1" applyAlignment="1">
      <alignment vertical="center"/>
    </xf>
    <xf numFmtId="3" fontId="35" fillId="4" borderId="14" xfId="0" applyNumberFormat="1" applyFont="1" applyFill="1" applyBorder="1" applyAlignment="1">
      <alignment vertical="center"/>
    </xf>
    <xf numFmtId="0" fontId="18" fillId="0" borderId="12" xfId="0" applyFont="1" applyBorder="1" applyAlignment="1">
      <alignment horizontal="left" vertical="center" wrapText="1"/>
    </xf>
    <xf numFmtId="0" fontId="18" fillId="0" borderId="13" xfId="0" applyFont="1" applyFill="1" applyBorder="1" applyAlignment="1">
      <alignment horizontal="left" vertical="center" wrapText="1"/>
    </xf>
    <xf numFmtId="3" fontId="19" fillId="3"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wrapText="1"/>
    </xf>
    <xf numFmtId="3" fontId="19" fillId="0" borderId="13" xfId="0" applyNumberFormat="1" applyFont="1" applyBorder="1" applyAlignment="1">
      <alignment horizontal="right" vertical="center"/>
    </xf>
    <xf numFmtId="3" fontId="35" fillId="4" borderId="13" xfId="0" applyNumberFormat="1" applyFont="1" applyFill="1" applyBorder="1" applyAlignment="1">
      <alignment horizontal="right" vertical="center" wrapText="1"/>
    </xf>
    <xf numFmtId="3" fontId="36" fillId="4" borderId="13" xfId="0" applyNumberFormat="1" applyFont="1" applyFill="1" applyBorder="1" applyAlignment="1">
      <alignment horizontal="right" wrapText="1"/>
    </xf>
    <xf numFmtId="3" fontId="41" fillId="4" borderId="13" xfId="0" applyNumberFormat="1" applyFont="1" applyFill="1" applyBorder="1" applyAlignment="1">
      <alignment horizontal="right" vertical="center"/>
    </xf>
    <xf numFmtId="3" fontId="17" fillId="0" borderId="13" xfId="0" applyNumberFormat="1" applyFont="1" applyFill="1" applyBorder="1" applyAlignment="1">
      <alignment horizontal="right" vertical="center"/>
    </xf>
    <xf numFmtId="165" fontId="27" fillId="0" borderId="13" xfId="0" applyNumberFormat="1" applyFont="1" applyBorder="1" applyAlignment="1">
      <alignment vertical="center"/>
    </xf>
    <xf numFmtId="3" fontId="27" fillId="0" borderId="13" xfId="0" applyNumberFormat="1" applyFont="1" applyBorder="1" applyAlignment="1">
      <alignment horizontal="right" wrapText="1"/>
    </xf>
    <xf numFmtId="3" fontId="17" fillId="0" borderId="13" xfId="0" applyNumberFormat="1" applyFont="1" applyBorder="1" applyAlignment="1">
      <alignment horizontal="right" wrapText="1"/>
    </xf>
    <xf numFmtId="49" fontId="16" fillId="0" borderId="13" xfId="0" applyNumberFormat="1" applyFont="1" applyFill="1" applyBorder="1" applyAlignment="1">
      <alignment horizontal="left" vertical="center" wrapText="1"/>
    </xf>
    <xf numFmtId="165" fontId="27" fillId="4" borderId="13" xfId="0" applyNumberFormat="1" applyFont="1" applyFill="1" applyBorder="1" applyAlignment="1">
      <alignment vertical="center"/>
    </xf>
    <xf numFmtId="165" fontId="40" fillId="4" borderId="13" xfId="0" applyNumberFormat="1" applyFont="1" applyFill="1" applyBorder="1" applyAlignment="1">
      <alignment horizontal="right" vertical="center" wrapText="1"/>
    </xf>
    <xf numFmtId="3" fontId="27" fillId="4" borderId="13" xfId="0" applyNumberFormat="1" applyFont="1" applyFill="1" applyBorder="1" applyAlignment="1">
      <alignment horizontal="right" wrapText="1"/>
    </xf>
    <xf numFmtId="165" fontId="29" fillId="0" borderId="13" xfId="0" applyNumberFormat="1" applyFont="1" applyBorder="1" applyAlignment="1">
      <alignment vertical="center"/>
    </xf>
    <xf numFmtId="165" fontId="44" fillId="0" borderId="13" xfId="0" applyNumberFormat="1" applyFont="1" applyFill="1" applyBorder="1" applyAlignment="1">
      <alignment horizontal="right" vertical="center" wrapText="1"/>
    </xf>
    <xf numFmtId="3" fontId="29" fillId="0" borderId="13" xfId="0" applyNumberFormat="1" applyFont="1" applyFill="1" applyBorder="1" applyAlignment="1">
      <alignment horizontal="right" wrapText="1"/>
    </xf>
    <xf numFmtId="3" fontId="29" fillId="0" borderId="13" xfId="0" applyNumberFormat="1" applyFont="1" applyBorder="1" applyAlignment="1">
      <alignment horizontal="right" wrapText="1"/>
    </xf>
    <xf numFmtId="3" fontId="19" fillId="0" borderId="13" xfId="0" applyNumberFormat="1" applyFont="1" applyBorder="1" applyAlignment="1">
      <alignment horizontal="right" wrapText="1"/>
    </xf>
    <xf numFmtId="0" fontId="16" fillId="0" borderId="12" xfId="0" applyFont="1" applyFill="1" applyBorder="1" applyAlignment="1">
      <alignment horizontal="left" vertical="center" wrapText="1"/>
    </xf>
    <xf numFmtId="165" fontId="34" fillId="4" borderId="13" xfId="0" applyNumberFormat="1" applyFont="1" applyFill="1" applyBorder="1" applyAlignment="1">
      <alignment vertical="center"/>
    </xf>
    <xf numFmtId="165" fontId="38" fillId="4" borderId="13" xfId="0" applyNumberFormat="1" applyFont="1" applyFill="1" applyBorder="1" applyAlignment="1">
      <alignment horizontal="right" vertical="center" wrapText="1"/>
    </xf>
    <xf numFmtId="0" fontId="16" fillId="0" borderId="13" xfId="0" applyFont="1" applyBorder="1" applyAlignment="1">
      <alignment horizontal="left" vertical="center" wrapText="1"/>
    </xf>
    <xf numFmtId="3" fontId="16" fillId="0" borderId="13" xfId="0" applyNumberFormat="1" applyFont="1" applyFill="1" applyBorder="1" applyAlignment="1">
      <alignment horizontal="right" wrapText="1"/>
    </xf>
    <xf numFmtId="3" fontId="16" fillId="0" borderId="13" xfId="0" applyNumberFormat="1" applyFont="1" applyBorder="1" applyAlignment="1">
      <alignment horizontal="right" wrapText="1"/>
    </xf>
    <xf numFmtId="0" fontId="18" fillId="0" borderId="13" xfId="0" applyFont="1" applyFill="1" applyBorder="1" applyAlignment="1">
      <alignment vertical="center" wrapText="1"/>
    </xf>
    <xf numFmtId="165" fontId="29" fillId="0" borderId="13" xfId="0" applyNumberFormat="1" applyFont="1" applyFill="1" applyBorder="1" applyAlignment="1">
      <alignment vertical="center"/>
    </xf>
    <xf numFmtId="165" fontId="19" fillId="0" borderId="13" xfId="0" applyNumberFormat="1" applyFont="1" applyFill="1" applyBorder="1" applyAlignment="1">
      <alignment horizontal="right" vertical="center" wrapText="1"/>
    </xf>
    <xf numFmtId="3" fontId="19" fillId="0" borderId="13" xfId="0" applyNumberFormat="1" applyFont="1" applyFill="1" applyBorder="1" applyAlignment="1">
      <alignment horizontal="right" wrapText="1"/>
    </xf>
    <xf numFmtId="0" fontId="60" fillId="0" borderId="12" xfId="0" applyFont="1" applyBorder="1" applyAlignment="1">
      <alignment vertical="center" wrapText="1"/>
    </xf>
    <xf numFmtId="0" fontId="60" fillId="0" borderId="13" xfId="0" applyFont="1" applyBorder="1" applyAlignment="1">
      <alignment vertical="center" wrapText="1"/>
    </xf>
    <xf numFmtId="3" fontId="57" fillId="0" borderId="13" xfId="0" applyNumberFormat="1" applyFont="1" applyBorder="1" applyAlignment="1">
      <alignment vertical="center"/>
    </xf>
    <xf numFmtId="3" fontId="57" fillId="0" borderId="14" xfId="0" applyNumberFormat="1" applyFont="1" applyBorder="1" applyAlignment="1">
      <alignment vertical="center"/>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19" fillId="0" borderId="13" xfId="0" applyFont="1" applyFill="1" applyBorder="1" applyAlignment="1">
      <alignment horizontal="left" vertical="center" wrapText="1"/>
    </xf>
    <xf numFmtId="165" fontId="19" fillId="0" borderId="13" xfId="0" applyNumberFormat="1" applyFont="1" applyFill="1" applyBorder="1" applyAlignment="1">
      <alignment vertical="center"/>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165" fontId="28" fillId="0" borderId="13" xfId="0" applyNumberFormat="1" applyFont="1" applyFill="1" applyBorder="1" applyAlignment="1">
      <alignment vertical="center"/>
    </xf>
    <xf numFmtId="3" fontId="28" fillId="0" borderId="13" xfId="0" applyNumberFormat="1" applyFont="1" applyFill="1" applyBorder="1" applyAlignment="1">
      <alignment horizontal="right" wrapText="1"/>
    </xf>
    <xf numFmtId="3" fontId="30" fillId="0" borderId="13" xfId="0" applyNumberFormat="1" applyFont="1" applyFill="1" applyBorder="1" applyAlignment="1">
      <alignment horizontal="right" wrapText="1"/>
    </xf>
    <xf numFmtId="0" fontId="27" fillId="0" borderId="16" xfId="0" applyFont="1" applyFill="1" applyBorder="1" applyAlignment="1">
      <alignment horizontal="left" vertical="center" wrapText="1"/>
    </xf>
    <xf numFmtId="3" fontId="40" fillId="3" borderId="16" xfId="0" applyNumberFormat="1" applyFont="1" applyFill="1" applyBorder="1" applyAlignment="1">
      <alignment horizontal="right" vertical="center" wrapText="1"/>
    </xf>
    <xf numFmtId="3" fontId="27" fillId="0" borderId="16" xfId="0" applyNumberFormat="1" applyFont="1" applyFill="1" applyBorder="1" applyAlignment="1">
      <alignment horizontal="right" wrapText="1"/>
    </xf>
    <xf numFmtId="3" fontId="17" fillId="0" borderId="16" xfId="0" applyNumberFormat="1" applyFont="1" applyBorder="1" applyAlignment="1">
      <alignment horizontal="right" vertical="center"/>
    </xf>
    <xf numFmtId="3" fontId="17" fillId="0" borderId="17" xfId="0" applyNumberFormat="1" applyFont="1" applyBorder="1" applyAlignment="1">
      <alignment vertical="center"/>
    </xf>
    <xf numFmtId="165" fontId="27" fillId="0" borderId="16" xfId="0" applyNumberFormat="1" applyFont="1" applyBorder="1" applyAlignment="1">
      <alignment vertical="center"/>
    </xf>
    <xf numFmtId="165" fontId="40" fillId="0" borderId="16" xfId="0" applyNumberFormat="1" applyFont="1" applyFill="1" applyBorder="1" applyAlignment="1">
      <alignment horizontal="right" vertical="center" wrapText="1"/>
    </xf>
    <xf numFmtId="3" fontId="27" fillId="0" borderId="16" xfId="0" applyNumberFormat="1" applyFont="1" applyBorder="1" applyAlignment="1">
      <alignment horizontal="right" wrapText="1"/>
    </xf>
    <xf numFmtId="3" fontId="17" fillId="0" borderId="16" xfId="0" applyNumberFormat="1" applyFont="1" applyBorder="1" applyAlignment="1">
      <alignment horizontal="right" wrapText="1"/>
    </xf>
    <xf numFmtId="3" fontId="79" fillId="4" borderId="13" xfId="0" applyNumberFormat="1" applyFont="1" applyFill="1" applyBorder="1" applyAlignment="1">
      <alignment vertical="center"/>
    </xf>
    <xf numFmtId="3" fontId="17" fillId="4" borderId="13" xfId="0" applyNumberFormat="1" applyFont="1" applyFill="1" applyBorder="1" applyAlignment="1">
      <alignment horizontal="right" wrapText="1"/>
    </xf>
    <xf numFmtId="3" fontId="17" fillId="4" borderId="14" xfId="0" applyNumberFormat="1" applyFont="1" applyFill="1" applyBorder="1" applyAlignment="1">
      <alignment horizontal="right" wrapText="1"/>
    </xf>
    <xf numFmtId="0" fontId="81" fillId="3" borderId="26" xfId="0" applyFont="1" applyFill="1" applyBorder="1" applyAlignment="1">
      <alignment vertical="center" wrapText="1"/>
    </xf>
    <xf numFmtId="0" fontId="81" fillId="3" borderId="27" xfId="0" applyFont="1" applyFill="1" applyBorder="1" applyAlignment="1">
      <alignment vertical="center" wrapText="1"/>
    </xf>
    <xf numFmtId="3" fontId="57" fillId="3" borderId="27" xfId="0" applyNumberFormat="1" applyFont="1" applyFill="1" applyBorder="1" applyAlignment="1">
      <alignment vertical="center"/>
    </xf>
    <xf numFmtId="3" fontId="57" fillId="3" borderId="28" xfId="0" applyNumberFormat="1" applyFont="1" applyFill="1" applyBorder="1" applyAlignment="1">
      <alignment vertical="center"/>
    </xf>
    <xf numFmtId="0" fontId="28" fillId="3" borderId="4" xfId="0" applyFont="1" applyFill="1" applyBorder="1" applyAlignment="1">
      <alignment horizontal="left" vertical="center"/>
    </xf>
    <xf numFmtId="0" fontId="48" fillId="3" borderId="0" xfId="0" applyFont="1" applyFill="1" applyBorder="1" applyAlignment="1">
      <alignment horizontal="left" vertical="center"/>
    </xf>
    <xf numFmtId="0" fontId="30" fillId="3" borderId="0" xfId="0" applyFont="1" applyFill="1" applyBorder="1" applyAlignment="1">
      <alignment horizontal="left" vertical="center" wrapText="1"/>
    </xf>
    <xf numFmtId="0" fontId="40" fillId="3" borderId="0" xfId="0" applyFont="1" applyFill="1" applyBorder="1" applyAlignment="1">
      <alignment horizontal="left" vertical="center" wrapText="1" indent="1"/>
    </xf>
    <xf numFmtId="165" fontId="40" fillId="3" borderId="0" xfId="0" applyNumberFormat="1" applyFont="1" applyFill="1" applyBorder="1" applyAlignment="1">
      <alignment horizontal="right" vertical="center" wrapText="1"/>
    </xf>
    <xf numFmtId="3" fontId="27" fillId="3" borderId="0" xfId="0" applyNumberFormat="1" applyFont="1" applyFill="1" applyBorder="1" applyAlignment="1">
      <alignment wrapText="1"/>
    </xf>
    <xf numFmtId="0" fontId="10" fillId="3" borderId="0" xfId="0" applyFont="1" applyFill="1" applyBorder="1" applyAlignment="1">
      <alignment wrapText="1"/>
    </xf>
    <xf numFmtId="0" fontId="57" fillId="8" borderId="5" xfId="0" applyFont="1" applyFill="1" applyBorder="1" applyAlignment="1">
      <alignment horizontal="left" vertical="center" wrapText="1" indent="1"/>
    </xf>
    <xf numFmtId="0" fontId="30" fillId="0" borderId="13" xfId="8" applyNumberFormat="1" applyFont="1" applyFill="1" applyBorder="1" applyAlignment="1">
      <alignment horizontal="center" vertical="center" wrapText="1"/>
    </xf>
    <xf numFmtId="0" fontId="30" fillId="0" borderId="14" xfId="8" applyNumberFormat="1" applyFont="1" applyFill="1" applyBorder="1" applyAlignment="1">
      <alignment horizontal="center" vertical="center" wrapText="1"/>
    </xf>
    <xf numFmtId="0" fontId="19" fillId="0" borderId="13" xfId="0" applyFont="1" applyFill="1" applyBorder="1" applyAlignment="1">
      <alignment vertical="center" wrapText="1"/>
    </xf>
    <xf numFmtId="0" fontId="40" fillId="0" borderId="12" xfId="2" applyFont="1" applyFill="1" applyBorder="1" applyAlignment="1">
      <alignment horizontal="left" vertical="center" wrapText="1"/>
    </xf>
    <xf numFmtId="0" fontId="40" fillId="0" borderId="13" xfId="0" applyFont="1" applyBorder="1" applyAlignment="1">
      <alignment horizontal="left" vertical="center" wrapText="1"/>
    </xf>
    <xf numFmtId="0" fontId="40" fillId="4" borderId="13" xfId="0" applyFont="1" applyFill="1" applyBorder="1" applyAlignment="1">
      <alignment horizontal="left" vertical="center" wrapText="1"/>
    </xf>
    <xf numFmtId="0" fontId="27" fillId="4" borderId="13" xfId="0" applyFont="1" applyFill="1" applyBorder="1" applyAlignment="1">
      <alignment wrapText="1"/>
    </xf>
    <xf numFmtId="0" fontId="10" fillId="4" borderId="13" xfId="0" applyFont="1" applyFill="1" applyBorder="1" applyAlignment="1">
      <alignment wrapText="1"/>
    </xf>
    <xf numFmtId="0" fontId="38" fillId="0" borderId="12" xfId="2" applyFont="1" applyFill="1" applyBorder="1" applyAlignment="1">
      <alignment horizontal="left" vertical="center" wrapText="1" indent="1"/>
    </xf>
    <xf numFmtId="0" fontId="38" fillId="0" borderId="13" xfId="0" applyFont="1" applyBorder="1" applyAlignment="1">
      <alignment horizontal="left" vertical="center" wrapText="1" indent="1"/>
    </xf>
    <xf numFmtId="0" fontId="40" fillId="4" borderId="13" xfId="0" applyFont="1" applyFill="1" applyBorder="1" applyAlignment="1">
      <alignment horizontal="left" vertical="center" wrapText="1" indent="1"/>
    </xf>
    <xf numFmtId="0" fontId="38" fillId="0" borderId="13" xfId="2" applyFont="1" applyFill="1" applyBorder="1" applyAlignment="1">
      <alignment horizontal="left" vertical="center" wrapText="1" indent="1"/>
    </xf>
    <xf numFmtId="0" fontId="17" fillId="0" borderId="12" xfId="2" applyFont="1" applyFill="1" applyBorder="1" applyAlignment="1">
      <alignment horizontal="left" vertical="center" wrapText="1"/>
    </xf>
    <xf numFmtId="0" fontId="19" fillId="4" borderId="13" xfId="0" applyFont="1" applyFill="1" applyBorder="1" applyAlignment="1">
      <alignment horizontal="left" vertical="center" wrapText="1"/>
    </xf>
    <xf numFmtId="165" fontId="19" fillId="4" borderId="13" xfId="0" applyNumberFormat="1" applyFont="1" applyFill="1" applyBorder="1" applyAlignment="1">
      <alignment horizontal="right" vertical="center" wrapText="1"/>
    </xf>
    <xf numFmtId="0" fontId="17" fillId="4" borderId="13" xfId="0" applyFont="1" applyFill="1" applyBorder="1" applyAlignment="1">
      <alignment wrapText="1"/>
    </xf>
    <xf numFmtId="0" fontId="14" fillId="4" borderId="13" xfId="0" applyFont="1" applyFill="1" applyBorder="1" applyAlignment="1">
      <alignment wrapText="1"/>
    </xf>
    <xf numFmtId="3" fontId="17" fillId="0" borderId="13" xfId="0" applyNumberFormat="1" applyFont="1" applyBorder="1" applyAlignment="1">
      <alignment wrapText="1"/>
    </xf>
    <xf numFmtId="0" fontId="30" fillId="0" borderId="12" xfId="2" applyFont="1" applyFill="1" applyBorder="1" applyAlignment="1">
      <alignment horizontal="left" vertical="center" wrapText="1"/>
    </xf>
    <xf numFmtId="0" fontId="30" fillId="0" borderId="13" xfId="2" applyFont="1" applyFill="1" applyBorder="1" applyAlignment="1">
      <alignment horizontal="left" vertical="center" wrapText="1"/>
    </xf>
    <xf numFmtId="3" fontId="30" fillId="0" borderId="13" xfId="0" applyNumberFormat="1" applyFont="1" applyFill="1" applyBorder="1" applyAlignment="1">
      <alignment wrapText="1"/>
    </xf>
    <xf numFmtId="0" fontId="28" fillId="0" borderId="13" xfId="0" applyFont="1" applyFill="1" applyBorder="1" applyAlignment="1">
      <alignment wrapText="1"/>
    </xf>
    <xf numFmtId="0" fontId="49" fillId="0" borderId="13" xfId="0" applyFont="1" applyFill="1" applyBorder="1" applyAlignment="1">
      <alignment wrapText="1"/>
    </xf>
    <xf numFmtId="0" fontId="48" fillId="0" borderId="15" xfId="0" applyFont="1" applyFill="1" applyBorder="1" applyAlignment="1">
      <alignment horizontal="left" vertical="center"/>
    </xf>
    <xf numFmtId="0" fontId="30" fillId="0" borderId="16" xfId="0" applyFont="1" applyFill="1" applyBorder="1" applyAlignment="1">
      <alignment horizontal="left" vertical="center" wrapText="1"/>
    </xf>
    <xf numFmtId="0" fontId="19" fillId="0" borderId="16" xfId="0" applyFont="1" applyFill="1" applyBorder="1" applyAlignment="1">
      <alignment vertical="center" wrapText="1"/>
    </xf>
    <xf numFmtId="165" fontId="19" fillId="0" borderId="16" xfId="0" applyNumberFormat="1" applyFont="1" applyFill="1" applyBorder="1" applyAlignment="1">
      <alignment horizontal="right" vertical="center" wrapText="1"/>
    </xf>
    <xf numFmtId="3" fontId="27" fillId="0" borderId="16" xfId="0" applyNumberFormat="1" applyFont="1" applyFill="1" applyBorder="1" applyAlignment="1">
      <alignment wrapText="1"/>
    </xf>
    <xf numFmtId="0" fontId="10" fillId="0" borderId="16" xfId="0" applyFont="1" applyFill="1" applyBorder="1" applyAlignment="1">
      <alignment wrapText="1"/>
    </xf>
    <xf numFmtId="0" fontId="10" fillId="0" borderId="17" xfId="0" applyFont="1" applyFill="1" applyBorder="1" applyAlignment="1">
      <alignment wrapText="1"/>
    </xf>
    <xf numFmtId="0" fontId="28" fillId="0" borderId="8" xfId="0" applyFont="1" applyBorder="1" applyAlignment="1">
      <alignment horizontal="center" vertical="center"/>
    </xf>
    <xf numFmtId="0" fontId="30" fillId="0" borderId="8" xfId="8" applyNumberFormat="1" applyFont="1" applyFill="1" applyBorder="1" applyAlignment="1">
      <alignment horizontal="center" vertical="center" wrapText="1"/>
    </xf>
    <xf numFmtId="0" fontId="30" fillId="0" borderId="19" xfId="8"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48" fillId="0" borderId="13" xfId="0" applyFont="1" applyBorder="1" applyAlignment="1">
      <alignment vertical="center" wrapText="1"/>
    </xf>
    <xf numFmtId="165" fontId="48" fillId="4" borderId="13" xfId="0" applyNumberFormat="1" applyFont="1" applyFill="1" applyBorder="1" applyAlignment="1">
      <alignment horizontal="right" vertical="center" wrapText="1"/>
    </xf>
    <xf numFmtId="3" fontId="28" fillId="4" borderId="13" xfId="0" applyNumberFormat="1" applyFont="1" applyFill="1" applyBorder="1" applyAlignment="1">
      <alignment wrapText="1"/>
    </xf>
    <xf numFmtId="0" fontId="19" fillId="0" borderId="12" xfId="0" quotePrefix="1" applyFont="1" applyFill="1" applyBorder="1" applyAlignment="1">
      <alignment horizontal="left" vertical="center" wrapText="1"/>
    </xf>
    <xf numFmtId="0" fontId="44" fillId="0" borderId="13" xfId="0" applyFont="1" applyBorder="1" applyAlignment="1">
      <alignment vertical="center" wrapText="1"/>
    </xf>
    <xf numFmtId="0" fontId="44" fillId="4" borderId="13" xfId="0" applyFont="1" applyFill="1" applyBorder="1" applyAlignment="1">
      <alignment vertical="center" wrapText="1"/>
    </xf>
    <xf numFmtId="165" fontId="44" fillId="4" borderId="13" xfId="0" applyNumberFormat="1" applyFont="1" applyFill="1" applyBorder="1" applyAlignment="1">
      <alignment horizontal="right" vertical="center" wrapText="1"/>
    </xf>
    <xf numFmtId="3" fontId="29" fillId="4" borderId="13" xfId="0" applyNumberFormat="1" applyFont="1" applyFill="1" applyBorder="1" applyAlignment="1">
      <alignment wrapText="1"/>
    </xf>
    <xf numFmtId="0" fontId="23" fillId="4" borderId="13" xfId="0" applyFont="1" applyFill="1" applyBorder="1" applyAlignment="1">
      <alignment wrapText="1"/>
    </xf>
    <xf numFmtId="3" fontId="23" fillId="0" borderId="13" xfId="0" applyNumberFormat="1" applyFont="1" applyBorder="1" applyAlignment="1">
      <alignment wrapText="1"/>
    </xf>
    <xf numFmtId="3" fontId="23" fillId="0" borderId="14" xfId="0" applyNumberFormat="1" applyFont="1" applyBorder="1" applyAlignment="1">
      <alignment wrapText="1"/>
    </xf>
    <xf numFmtId="0" fontId="35" fillId="0" borderId="12" xfId="0" quotePrefix="1" applyFont="1" applyFill="1" applyBorder="1" applyAlignment="1">
      <alignment horizontal="left" vertical="center" wrapText="1"/>
    </xf>
    <xf numFmtId="0" fontId="38" fillId="0" borderId="13" xfId="0" applyFont="1" applyBorder="1" applyAlignment="1">
      <alignment vertical="center" wrapText="1"/>
    </xf>
    <xf numFmtId="0" fontId="38" fillId="4" borderId="13" xfId="0" applyFont="1" applyFill="1" applyBorder="1" applyAlignment="1">
      <alignment vertical="center" wrapText="1"/>
    </xf>
    <xf numFmtId="3" fontId="34" fillId="4" borderId="13" xfId="0" applyNumberFormat="1" applyFont="1" applyFill="1" applyBorder="1" applyAlignment="1">
      <alignment wrapText="1"/>
    </xf>
    <xf numFmtId="0" fontId="33" fillId="4" borderId="13" xfId="0" applyFont="1" applyFill="1" applyBorder="1" applyAlignment="1">
      <alignment wrapText="1"/>
    </xf>
    <xf numFmtId="3" fontId="33" fillId="0" borderId="13" xfId="0" applyNumberFormat="1" applyFont="1" applyBorder="1" applyAlignment="1">
      <alignment wrapText="1"/>
    </xf>
    <xf numFmtId="3" fontId="33" fillId="0" borderId="14" xfId="0" applyNumberFormat="1" applyFont="1" applyBorder="1" applyAlignment="1">
      <alignment wrapText="1"/>
    </xf>
    <xf numFmtId="0" fontId="35" fillId="0" borderId="12" xfId="8" applyFont="1" applyFill="1" applyBorder="1" applyAlignment="1">
      <alignment horizontal="left" vertical="center" wrapText="1" indent="1"/>
    </xf>
    <xf numFmtId="0" fontId="35" fillId="0" borderId="13" xfId="8" applyFont="1" applyFill="1" applyBorder="1" applyAlignment="1">
      <alignment horizontal="left" vertical="center" wrapText="1" indent="1"/>
    </xf>
    <xf numFmtId="3" fontId="38" fillId="4" borderId="13" xfId="0" applyNumberFormat="1" applyFont="1" applyFill="1" applyBorder="1" applyAlignment="1">
      <alignment vertical="center" wrapText="1"/>
    </xf>
    <xf numFmtId="3" fontId="33" fillId="4" borderId="13" xfId="0" applyNumberFormat="1" applyFont="1" applyFill="1" applyBorder="1" applyAlignment="1">
      <alignment wrapText="1"/>
    </xf>
    <xf numFmtId="0" fontId="35" fillId="0" borderId="12" xfId="2" applyFont="1" applyFill="1" applyBorder="1" applyAlignment="1">
      <alignment horizontal="left" vertical="center" wrapText="1"/>
    </xf>
    <xf numFmtId="3" fontId="38" fillId="0" borderId="13" xfId="0" applyNumberFormat="1" applyFont="1" applyBorder="1" applyAlignment="1">
      <alignment vertical="center" wrapText="1"/>
    </xf>
    <xf numFmtId="3" fontId="33" fillId="0" borderId="13" xfId="0" quotePrefix="1" applyNumberFormat="1" applyFont="1" applyBorder="1" applyAlignment="1">
      <alignment wrapText="1"/>
    </xf>
    <xf numFmtId="3" fontId="33" fillId="0" borderId="14" xfId="0" quotePrefix="1" applyNumberFormat="1" applyFont="1" applyBorder="1" applyAlignment="1">
      <alignment wrapText="1"/>
    </xf>
    <xf numFmtId="0" fontId="35" fillId="0" borderId="12" xfId="8" applyFont="1" applyFill="1" applyBorder="1" applyAlignment="1">
      <alignment horizontal="left" vertical="center" wrapText="1"/>
    </xf>
    <xf numFmtId="0" fontId="23" fillId="0" borderId="13" xfId="0" applyFont="1" applyBorder="1" applyAlignment="1">
      <alignment wrapText="1"/>
    </xf>
    <xf numFmtId="0" fontId="40" fillId="4" borderId="13" xfId="0" applyFont="1" applyFill="1" applyBorder="1" applyAlignment="1">
      <alignment vertical="center" wrapText="1"/>
    </xf>
    <xf numFmtId="3" fontId="27" fillId="4" borderId="13" xfId="0" applyNumberFormat="1" applyFont="1" applyFill="1" applyBorder="1" applyAlignment="1">
      <alignment wrapText="1"/>
    </xf>
    <xf numFmtId="0" fontId="10" fillId="0" borderId="13" xfId="0" applyFont="1" applyBorder="1" applyAlignment="1">
      <alignment wrapText="1"/>
    </xf>
    <xf numFmtId="3" fontId="33" fillId="4" borderId="13" xfId="0" quotePrefix="1" applyNumberFormat="1" applyFont="1" applyFill="1" applyBorder="1" applyAlignment="1">
      <alignment wrapText="1"/>
    </xf>
    <xf numFmtId="3" fontId="33" fillId="4" borderId="14" xfId="0" quotePrefix="1" applyNumberFormat="1" applyFont="1" applyFill="1" applyBorder="1" applyAlignment="1">
      <alignment wrapText="1"/>
    </xf>
    <xf numFmtId="0" fontId="35" fillId="0" borderId="13" xfId="8" applyFont="1" applyFill="1" applyBorder="1" applyAlignment="1">
      <alignment horizontal="left" vertical="center" wrapText="1"/>
    </xf>
    <xf numFmtId="0" fontId="19" fillId="0" borderId="12" xfId="0" applyFont="1" applyFill="1" applyBorder="1" applyAlignment="1">
      <alignment vertical="center" wrapText="1"/>
    </xf>
    <xf numFmtId="0" fontId="44" fillId="4" borderId="13" xfId="0" applyFont="1" applyFill="1" applyBorder="1" applyAlignment="1">
      <alignment horizontal="left" vertical="center" wrapText="1" indent="1"/>
    </xf>
    <xf numFmtId="0" fontId="29" fillId="0" borderId="13" xfId="0" applyFont="1" applyBorder="1" applyAlignment="1">
      <alignment wrapText="1"/>
    </xf>
    <xf numFmtId="0" fontId="29" fillId="0" borderId="14" xfId="0" applyFont="1" applyBorder="1" applyAlignment="1">
      <alignment wrapText="1"/>
    </xf>
    <xf numFmtId="0" fontId="30" fillId="0" borderId="12" xfId="2" applyFont="1" applyFill="1" applyBorder="1" applyAlignment="1">
      <alignment vertical="center" wrapText="1"/>
    </xf>
    <xf numFmtId="0" fontId="30" fillId="0" borderId="13" xfId="2" applyFont="1" applyFill="1" applyBorder="1" applyAlignment="1">
      <alignment vertical="center" wrapText="1"/>
    </xf>
    <xf numFmtId="0" fontId="32" fillId="0" borderId="13" xfId="0" applyFont="1" applyFill="1" applyBorder="1" applyAlignment="1">
      <alignment horizontal="left" vertical="center" wrapText="1" indent="1"/>
    </xf>
    <xf numFmtId="165" fontId="32" fillId="0" borderId="13" xfId="0" applyNumberFormat="1" applyFont="1" applyFill="1" applyBorder="1" applyAlignment="1">
      <alignment horizontal="right" vertical="center" wrapText="1"/>
    </xf>
    <xf numFmtId="3" fontId="26" fillId="0" borderId="13" xfId="0" applyNumberFormat="1" applyFont="1" applyFill="1" applyBorder="1" applyAlignment="1">
      <alignment wrapText="1"/>
    </xf>
    <xf numFmtId="0" fontId="39" fillId="0" borderId="13" xfId="0" applyFont="1" applyFill="1" applyBorder="1" applyAlignment="1">
      <alignment wrapText="1"/>
    </xf>
    <xf numFmtId="0" fontId="30" fillId="0" borderId="15" xfId="0" applyFont="1" applyFill="1" applyBorder="1" applyAlignment="1">
      <alignment vertical="center" wrapText="1"/>
    </xf>
    <xf numFmtId="0" fontId="48" fillId="0" borderId="16" xfId="0" applyFont="1" applyBorder="1" applyAlignment="1">
      <alignment vertical="center" wrapText="1"/>
    </xf>
    <xf numFmtId="0" fontId="48" fillId="4" borderId="16" xfId="0" applyFont="1" applyFill="1" applyBorder="1" applyAlignment="1">
      <alignment vertical="center" wrapText="1"/>
    </xf>
    <xf numFmtId="165" fontId="48" fillId="4" borderId="16" xfId="0" applyNumberFormat="1" applyFont="1" applyFill="1" applyBorder="1" applyAlignment="1">
      <alignment horizontal="right" vertical="center" wrapText="1"/>
    </xf>
    <xf numFmtId="3" fontId="28" fillId="4" borderId="16" xfId="0" applyNumberFormat="1" applyFont="1" applyFill="1" applyBorder="1" applyAlignment="1">
      <alignment wrapText="1"/>
    </xf>
    <xf numFmtId="0" fontId="49" fillId="4" borderId="16" xfId="0" applyFont="1" applyFill="1" applyBorder="1" applyAlignment="1">
      <alignment wrapText="1"/>
    </xf>
    <xf numFmtId="0" fontId="49" fillId="0" borderId="16" xfId="0" applyFont="1" applyBorder="1" applyAlignment="1">
      <alignment wrapText="1"/>
    </xf>
    <xf numFmtId="0" fontId="49" fillId="0" borderId="17" xfId="0" applyFont="1" applyBorder="1" applyAlignment="1">
      <alignment wrapText="1"/>
    </xf>
    <xf numFmtId="0" fontId="28" fillId="3" borderId="3" xfId="0" applyFont="1" applyFill="1" applyBorder="1" applyAlignment="1">
      <alignment horizontal="left" vertical="center" wrapText="1"/>
    </xf>
    <xf numFmtId="0" fontId="102" fillId="8" borderId="0" xfId="0" applyFont="1" applyFill="1" applyAlignment="1">
      <alignment wrapText="1"/>
    </xf>
    <xf numFmtId="165" fontId="57" fillId="8" borderId="0" xfId="0" applyNumberFormat="1" applyFont="1" applyFill="1" applyAlignment="1">
      <alignment wrapText="1"/>
    </xf>
    <xf numFmtId="165" fontId="80" fillId="8" borderId="0" xfId="0" applyNumberFormat="1" applyFont="1" applyFill="1" applyAlignment="1">
      <alignment wrapText="1"/>
    </xf>
    <xf numFmtId="0" fontId="98" fillId="8" borderId="0" xfId="15" applyFill="1" applyAlignment="1" applyProtection="1">
      <alignment horizontal="left" wrapText="1"/>
    </xf>
    <xf numFmtId="165" fontId="44" fillId="0" borderId="13" xfId="0" applyNumberFormat="1" applyFont="1" applyBorder="1" applyAlignment="1">
      <alignment horizontal="right" vertical="center" wrapText="1"/>
    </xf>
    <xf numFmtId="165" fontId="19" fillId="0" borderId="13" xfId="0" applyNumberFormat="1" applyFont="1" applyBorder="1" applyAlignment="1">
      <alignment horizontal="right" vertical="center" wrapText="1"/>
    </xf>
    <xf numFmtId="0" fontId="44" fillId="0" borderId="12" xfId="2" applyFont="1" applyFill="1" applyBorder="1" applyAlignment="1">
      <alignment horizontal="left" vertical="center" wrapText="1"/>
    </xf>
    <xf numFmtId="0" fontId="44" fillId="0" borderId="13" xfId="0" applyFont="1" applyBorder="1" applyAlignment="1">
      <alignment horizontal="left" vertical="center" wrapText="1"/>
    </xf>
    <xf numFmtId="0" fontId="40" fillId="0" borderId="12" xfId="0" applyFont="1" applyFill="1" applyBorder="1" applyAlignment="1">
      <alignment horizontal="left" vertical="center" wrapText="1" indent="1"/>
    </xf>
    <xf numFmtId="0" fontId="40" fillId="0" borderId="13" xfId="0" applyFont="1" applyBorder="1" applyAlignment="1">
      <alignment horizontal="left" vertical="center" wrapText="1" indent="1"/>
    </xf>
    <xf numFmtId="0" fontId="40" fillId="0" borderId="13" xfId="0" applyFont="1" applyFill="1" applyBorder="1" applyAlignment="1">
      <alignment horizontal="left" vertical="center" wrapText="1" indent="1"/>
    </xf>
    <xf numFmtId="0" fontId="40" fillId="0" borderId="12" xfId="2" applyFont="1" applyFill="1" applyBorder="1" applyAlignment="1">
      <alignment horizontal="left" vertical="center" wrapText="1" indent="1"/>
    </xf>
    <xf numFmtId="0" fontId="40" fillId="0" borderId="13" xfId="2" applyFont="1" applyFill="1" applyBorder="1" applyAlignment="1">
      <alignment horizontal="left" vertical="center" wrapText="1" indent="1"/>
    </xf>
    <xf numFmtId="165" fontId="40" fillId="0" borderId="13" xfId="0" applyNumberFormat="1" applyFont="1" applyBorder="1" applyAlignment="1">
      <alignment horizontal="right" wrapText="1"/>
    </xf>
    <xf numFmtId="165" fontId="40" fillId="4" borderId="14" xfId="0" applyNumberFormat="1" applyFont="1" applyFill="1" applyBorder="1" applyAlignment="1">
      <alignment horizontal="right" vertical="center" wrapText="1"/>
    </xf>
    <xf numFmtId="0" fontId="44" fillId="0" borderId="12"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19" fillId="0" borderId="15" xfId="0" applyFont="1" applyFill="1" applyBorder="1" applyAlignment="1">
      <alignment vertical="center" wrapText="1"/>
    </xf>
    <xf numFmtId="0" fontId="44" fillId="0" borderId="16" xfId="0" applyFont="1" applyBorder="1" applyAlignment="1">
      <alignment vertical="center" wrapText="1"/>
    </xf>
    <xf numFmtId="165" fontId="44" fillId="0" borderId="16" xfId="0" applyNumberFormat="1" applyFont="1" applyBorder="1" applyAlignment="1">
      <alignment horizontal="right" vertical="center" wrapText="1"/>
    </xf>
    <xf numFmtId="0" fontId="30" fillId="0" borderId="8" xfId="0" applyFont="1" applyFill="1" applyBorder="1" applyAlignment="1">
      <alignment horizontal="center" vertical="center" wrapText="1"/>
    </xf>
    <xf numFmtId="0" fontId="30" fillId="0" borderId="19" xfId="0" applyFont="1" applyFill="1" applyBorder="1" applyAlignment="1">
      <alignment horizontal="center" vertical="center" wrapText="1"/>
    </xf>
    <xf numFmtId="167" fontId="44" fillId="0" borderId="13" xfId="0" applyNumberFormat="1" applyFont="1" applyFill="1" applyBorder="1" applyAlignment="1">
      <alignment horizontal="right" vertical="center" wrapText="1"/>
    </xf>
    <xf numFmtId="0" fontId="38" fillId="4" borderId="13" xfId="0" applyFont="1" applyFill="1" applyBorder="1" applyAlignment="1">
      <alignment horizontal="left" vertical="center" wrapText="1" indent="1"/>
    </xf>
    <xf numFmtId="165" fontId="38" fillId="0" borderId="13" xfId="0" applyNumberFormat="1" applyFont="1" applyFill="1" applyBorder="1" applyAlignment="1">
      <alignment horizontal="right" vertical="center" wrapText="1"/>
    </xf>
    <xf numFmtId="165" fontId="38" fillId="0" borderId="14" xfId="0" applyNumberFormat="1" applyFont="1" applyFill="1" applyBorder="1" applyAlignment="1">
      <alignment horizontal="right" vertical="center" wrapText="1"/>
    </xf>
    <xf numFmtId="0" fontId="38" fillId="0" borderId="12" xfId="0" applyFont="1" applyBorder="1" applyAlignment="1">
      <alignment horizontal="left" vertical="center" wrapText="1" indent="1"/>
    </xf>
    <xf numFmtId="0" fontId="38" fillId="0" borderId="12" xfId="2" applyFont="1" applyBorder="1" applyAlignment="1">
      <alignment horizontal="left" vertical="center" wrapText="1" indent="1"/>
    </xf>
    <xf numFmtId="0" fontId="19" fillId="0" borderId="12" xfId="2" applyFont="1" applyFill="1" applyBorder="1" applyAlignment="1">
      <alignment horizontal="left" vertical="center" wrapText="1"/>
    </xf>
    <xf numFmtId="0" fontId="19" fillId="0" borderId="13" xfId="0" applyFont="1" applyBorder="1" applyAlignment="1">
      <alignment horizontal="left" vertical="center" wrapText="1"/>
    </xf>
    <xf numFmtId="165" fontId="19" fillId="4" borderId="13" xfId="0" applyNumberFormat="1" applyFont="1" applyFill="1" applyBorder="1" applyAlignment="1">
      <alignment horizontal="left" vertical="center" wrapText="1"/>
    </xf>
    <xf numFmtId="165" fontId="57" fillId="3" borderId="0" xfId="0" applyNumberFormat="1" applyFont="1" applyFill="1" applyAlignment="1">
      <alignment wrapText="1"/>
    </xf>
    <xf numFmtId="0" fontId="46" fillId="3" borderId="0" xfId="0" applyFont="1" applyFill="1" applyBorder="1" applyAlignment="1">
      <alignment vertical="center"/>
    </xf>
    <xf numFmtId="0" fontId="27" fillId="8" borderId="0" xfId="0" applyFont="1" applyFill="1" applyAlignment="1">
      <alignment horizontal="center" wrapText="1"/>
    </xf>
    <xf numFmtId="0" fontId="76" fillId="8" borderId="0" xfId="0" applyFont="1" applyFill="1" applyAlignment="1">
      <alignment wrapText="1"/>
    </xf>
    <xf numFmtId="0" fontId="67" fillId="8" borderId="0" xfId="0" applyFont="1" applyFill="1" applyAlignment="1">
      <alignment wrapText="1"/>
    </xf>
    <xf numFmtId="0" fontId="30" fillId="0" borderId="12" xfId="0" quotePrefix="1" applyFont="1" applyFill="1" applyBorder="1" applyAlignment="1">
      <alignment horizontal="left" vertical="center" wrapText="1"/>
    </xf>
    <xf numFmtId="0" fontId="48" fillId="0" borderId="13" xfId="0" applyFont="1" applyFill="1" applyBorder="1" applyAlignment="1">
      <alignment vertical="center" wrapText="1"/>
    </xf>
    <xf numFmtId="3" fontId="28" fillId="7" borderId="13" xfId="0" applyNumberFormat="1" applyFont="1" applyFill="1" applyBorder="1" applyAlignment="1">
      <alignment wrapText="1"/>
    </xf>
    <xf numFmtId="3" fontId="44" fillId="0" borderId="13" xfId="0" applyNumberFormat="1" applyFont="1" applyFill="1" applyBorder="1" applyAlignment="1">
      <alignment vertical="center" wrapText="1"/>
    </xf>
    <xf numFmtId="3" fontId="29" fillId="7" borderId="13" xfId="0" applyNumberFormat="1" applyFont="1" applyFill="1" applyBorder="1" applyAlignment="1">
      <alignment wrapText="1"/>
    </xf>
    <xf numFmtId="3" fontId="29" fillId="0" borderId="13" xfId="0" applyNumberFormat="1" applyFont="1" applyFill="1" applyBorder="1" applyAlignment="1">
      <alignment wrapText="1"/>
    </xf>
    <xf numFmtId="3" fontId="29" fillId="0" borderId="14" xfId="0" applyNumberFormat="1" applyFont="1" applyFill="1" applyBorder="1" applyAlignment="1">
      <alignment wrapText="1"/>
    </xf>
    <xf numFmtId="3" fontId="66" fillId="0" borderId="13" xfId="0" applyNumberFormat="1" applyFont="1" applyFill="1" applyBorder="1" applyAlignment="1">
      <alignment vertical="center" wrapText="1"/>
    </xf>
    <xf numFmtId="3" fontId="43" fillId="7" borderId="13" xfId="0" applyNumberFormat="1" applyFont="1" applyFill="1" applyBorder="1" applyAlignment="1">
      <alignment wrapText="1"/>
    </xf>
    <xf numFmtId="3" fontId="43" fillId="0" borderId="13" xfId="0" applyNumberFormat="1" applyFont="1" applyFill="1" applyBorder="1" applyAlignment="1">
      <alignment wrapText="1"/>
    </xf>
    <xf numFmtId="3" fontId="43" fillId="0" borderId="14" xfId="0" applyNumberFormat="1" applyFont="1" applyFill="1" applyBorder="1" applyAlignment="1">
      <alignment wrapText="1"/>
    </xf>
    <xf numFmtId="0" fontId="17" fillId="0" borderId="12" xfId="0" applyFont="1" applyFill="1" applyBorder="1" applyAlignment="1">
      <alignment vertical="center" wrapText="1"/>
    </xf>
    <xf numFmtId="3" fontId="27" fillId="7" borderId="13" xfId="0" applyNumberFormat="1" applyFont="1" applyFill="1" applyBorder="1" applyAlignment="1">
      <alignment wrapText="1"/>
    </xf>
    <xf numFmtId="0" fontId="29" fillId="7" borderId="13" xfId="0" applyFont="1" applyFill="1" applyBorder="1" applyAlignment="1">
      <alignment wrapText="1"/>
    </xf>
    <xf numFmtId="3" fontId="29" fillId="0" borderId="13" xfId="0" quotePrefix="1" applyNumberFormat="1" applyFont="1" applyFill="1" applyBorder="1" applyAlignment="1">
      <alignment wrapText="1"/>
    </xf>
    <xf numFmtId="3" fontId="29" fillId="0" borderId="14" xfId="0" quotePrefix="1" applyNumberFormat="1" applyFont="1" applyFill="1" applyBorder="1" applyAlignment="1">
      <alignment wrapText="1"/>
    </xf>
    <xf numFmtId="0" fontId="43" fillId="7" borderId="13" xfId="0" applyFont="1" applyFill="1" applyBorder="1" applyAlignment="1">
      <alignment wrapText="1"/>
    </xf>
    <xf numFmtId="3" fontId="43" fillId="0" borderId="13" xfId="0" quotePrefix="1" applyNumberFormat="1" applyFont="1" applyFill="1" applyBorder="1" applyAlignment="1">
      <alignment wrapText="1"/>
    </xf>
    <xf numFmtId="3" fontId="43" fillId="0" borderId="14" xfId="0" quotePrefix="1" applyNumberFormat="1" applyFont="1" applyFill="1" applyBorder="1" applyAlignment="1">
      <alignment wrapText="1"/>
    </xf>
    <xf numFmtId="3" fontId="76" fillId="7" borderId="13" xfId="0" applyNumberFormat="1" applyFont="1" applyFill="1" applyBorder="1" applyAlignment="1">
      <alignment wrapText="1"/>
    </xf>
    <xf numFmtId="0" fontId="30" fillId="0" borderId="13" xfId="0" applyFont="1" applyFill="1" applyBorder="1" applyAlignment="1">
      <alignment vertical="center" wrapText="1"/>
    </xf>
    <xf numFmtId="0" fontId="44" fillId="0" borderId="12" xfId="0" applyFont="1" applyFill="1" applyBorder="1" applyAlignment="1">
      <alignment horizontal="left" vertical="center"/>
    </xf>
    <xf numFmtId="0" fontId="19" fillId="0" borderId="13" xfId="8" applyNumberFormat="1" applyFont="1" applyFill="1" applyBorder="1" applyAlignment="1">
      <alignment horizontal="center" vertical="center" wrapText="1"/>
    </xf>
    <xf numFmtId="3" fontId="19" fillId="0" borderId="13" xfId="8" applyNumberFormat="1" applyFont="1" applyFill="1" applyBorder="1" applyAlignment="1">
      <alignment horizontal="center" vertical="center" wrapText="1"/>
    </xf>
    <xf numFmtId="3" fontId="19" fillId="0" borderId="14" xfId="8" applyNumberFormat="1" applyFont="1" applyFill="1" applyBorder="1" applyAlignment="1">
      <alignment horizontal="center" vertical="center" wrapText="1"/>
    </xf>
    <xf numFmtId="0" fontId="40" fillId="8" borderId="0" xfId="2" applyFont="1" applyFill="1" applyBorder="1" applyAlignment="1">
      <alignment horizontal="left" vertical="center" wrapText="1" indent="1"/>
    </xf>
    <xf numFmtId="0" fontId="40" fillId="8" borderId="0" xfId="0" applyFont="1" applyFill="1" applyBorder="1" applyAlignment="1">
      <alignment horizontal="left" vertical="center" wrapText="1" indent="1"/>
    </xf>
    <xf numFmtId="3" fontId="27" fillId="8" borderId="0" xfId="0" applyNumberFormat="1" applyFont="1" applyFill="1" applyBorder="1" applyAlignment="1">
      <alignment wrapText="1"/>
    </xf>
    <xf numFmtId="0" fontId="30" fillId="0" borderId="15" xfId="0" quotePrefix="1" applyFont="1" applyFill="1" applyBorder="1" applyAlignment="1">
      <alignment horizontal="left" vertical="center" wrapText="1"/>
    </xf>
    <xf numFmtId="0" fontId="48" fillId="0" borderId="16" xfId="0" applyFont="1" applyFill="1" applyBorder="1" applyAlignment="1">
      <alignment vertical="center" wrapText="1"/>
    </xf>
    <xf numFmtId="0" fontId="28" fillId="7" borderId="16" xfId="0" applyFont="1" applyFill="1" applyBorder="1" applyAlignment="1">
      <alignment wrapText="1"/>
    </xf>
    <xf numFmtId="3" fontId="28" fillId="7" borderId="16" xfId="0" applyNumberFormat="1" applyFont="1" applyFill="1" applyBorder="1" applyAlignment="1">
      <alignment wrapText="1"/>
    </xf>
    <xf numFmtId="3" fontId="28" fillId="0" borderId="16" xfId="0" applyNumberFormat="1" applyFont="1" applyFill="1" applyBorder="1" applyAlignment="1">
      <alignment wrapText="1"/>
    </xf>
    <xf numFmtId="3" fontId="28" fillId="0" borderId="17" xfId="0" applyNumberFormat="1" applyFont="1" applyFill="1" applyBorder="1" applyAlignment="1">
      <alignment wrapText="1"/>
    </xf>
    <xf numFmtId="3" fontId="43" fillId="4" borderId="13" xfId="0" applyNumberFormat="1" applyFont="1" applyFill="1" applyBorder="1" applyAlignment="1">
      <alignment wrapText="1"/>
    </xf>
    <xf numFmtId="0" fontId="44" fillId="0" borderId="13" xfId="0" applyFont="1" applyFill="1" applyBorder="1" applyAlignment="1">
      <alignment horizontal="left" vertical="center" wrapText="1" indent="1"/>
    </xf>
    <xf numFmtId="0" fontId="29" fillId="0" borderId="13" xfId="0" applyFont="1" applyFill="1" applyBorder="1" applyAlignment="1">
      <alignment wrapText="1"/>
    </xf>
    <xf numFmtId="0" fontId="44" fillId="0" borderId="13" xfId="2" applyFont="1" applyFill="1" applyBorder="1" applyAlignment="1">
      <alignment horizontal="left" vertical="center" wrapText="1" indent="1"/>
    </xf>
    <xf numFmtId="0" fontId="30" fillId="3" borderId="12" xfId="0" applyFont="1" applyFill="1" applyBorder="1" applyAlignment="1">
      <alignment vertical="center" wrapText="1"/>
    </xf>
    <xf numFmtId="3" fontId="48" fillId="3" borderId="13" xfId="0" applyNumberFormat="1" applyFont="1" applyFill="1" applyBorder="1" applyAlignment="1">
      <alignment vertical="center" wrapText="1"/>
    </xf>
    <xf numFmtId="3" fontId="28" fillId="3" borderId="13" xfId="0" applyNumberFormat="1" applyFont="1" applyFill="1" applyBorder="1" applyAlignment="1">
      <alignment wrapText="1"/>
    </xf>
    <xf numFmtId="3" fontId="28" fillId="3" borderId="14" xfId="0" applyNumberFormat="1" applyFont="1" applyFill="1" applyBorder="1" applyAlignment="1">
      <alignment wrapText="1"/>
    </xf>
    <xf numFmtId="0" fontId="28" fillId="3" borderId="0" xfId="12" applyFont="1" applyFill="1" applyBorder="1" applyAlignment="1">
      <alignment vertical="center"/>
    </xf>
    <xf numFmtId="0" fontId="28" fillId="3" borderId="0" xfId="12" applyFont="1" applyFill="1" applyAlignment="1">
      <alignment vertical="center"/>
    </xf>
    <xf numFmtId="3" fontId="27" fillId="3" borderId="0" xfId="12" applyNumberFormat="1" applyFont="1" applyFill="1" applyAlignment="1">
      <alignment wrapText="1"/>
    </xf>
    <xf numFmtId="0" fontId="29" fillId="3" borderId="0" xfId="12" applyFont="1" applyFill="1" applyBorder="1" applyAlignment="1">
      <alignment vertical="center"/>
    </xf>
    <xf numFmtId="0" fontId="29" fillId="3" borderId="0" xfId="12" applyFont="1" applyFill="1" applyAlignment="1">
      <alignment vertical="center"/>
    </xf>
    <xf numFmtId="3" fontId="24" fillId="3" borderId="0" xfId="12" applyNumberFormat="1" applyFont="1" applyFill="1" applyAlignment="1">
      <alignment wrapText="1"/>
    </xf>
    <xf numFmtId="0" fontId="34" fillId="8" borderId="0" xfId="12" applyFont="1" applyFill="1" applyAlignment="1">
      <alignment wrapText="1"/>
    </xf>
    <xf numFmtId="0" fontId="29" fillId="8" borderId="0" xfId="12" applyFont="1" applyFill="1" applyAlignment="1">
      <alignment wrapText="1"/>
    </xf>
    <xf numFmtId="0" fontId="27" fillId="8" borderId="0" xfId="12" applyFont="1" applyFill="1" applyBorder="1" applyAlignment="1">
      <alignment wrapText="1"/>
    </xf>
    <xf numFmtId="0" fontId="68" fillId="8" borderId="0" xfId="12" applyFont="1" applyFill="1" applyAlignment="1">
      <alignment wrapText="1"/>
    </xf>
    <xf numFmtId="0" fontId="19" fillId="0" borderId="12" xfId="12" quotePrefix="1" applyFont="1" applyFill="1" applyBorder="1" applyAlignment="1">
      <alignment horizontal="left" vertical="center" wrapText="1"/>
    </xf>
    <xf numFmtId="0" fontId="44" fillId="0" borderId="13" xfId="12" applyFont="1" applyFill="1" applyBorder="1" applyAlignment="1">
      <alignment vertical="center" wrapText="1"/>
    </xf>
    <xf numFmtId="3" fontId="29" fillId="0" borderId="13" xfId="12" applyNumberFormat="1" applyFont="1" applyFill="1" applyBorder="1" applyAlignment="1">
      <alignment wrapText="1"/>
    </xf>
    <xf numFmtId="3" fontId="29" fillId="0" borderId="14" xfId="12" applyNumberFormat="1" applyFont="1" applyFill="1" applyBorder="1" applyAlignment="1">
      <alignment wrapText="1"/>
    </xf>
    <xf numFmtId="0" fontId="35" fillId="0" borderId="12" xfId="12" quotePrefix="1" applyFont="1" applyFill="1" applyBorder="1" applyAlignment="1">
      <alignment horizontal="left" vertical="center" wrapText="1"/>
    </xf>
    <xf numFmtId="0" fontId="38" fillId="0" borderId="13" xfId="12" applyFont="1" applyFill="1" applyBorder="1" applyAlignment="1">
      <alignment vertical="center" wrapText="1"/>
    </xf>
    <xf numFmtId="3" fontId="34" fillId="0" borderId="13" xfId="12" applyNumberFormat="1" applyFont="1" applyFill="1" applyBorder="1" applyAlignment="1">
      <alignment wrapText="1"/>
    </xf>
    <xf numFmtId="3" fontId="34" fillId="0" borderId="14" xfId="12" applyNumberFormat="1" applyFont="1" applyFill="1" applyBorder="1" applyAlignment="1">
      <alignment wrapText="1"/>
    </xf>
    <xf numFmtId="3" fontId="38" fillId="0" borderId="13" xfId="12" applyNumberFormat="1" applyFont="1" applyFill="1" applyBorder="1" applyAlignment="1">
      <alignment vertical="center" wrapText="1"/>
    </xf>
    <xf numFmtId="3" fontId="38" fillId="0" borderId="14" xfId="12" applyNumberFormat="1" applyFont="1" applyFill="1" applyBorder="1" applyAlignment="1">
      <alignment vertical="center" wrapText="1"/>
    </xf>
    <xf numFmtId="3" fontId="44" fillId="0" borderId="13" xfId="12" applyNumberFormat="1" applyFont="1" applyFill="1" applyBorder="1" applyAlignment="1">
      <alignment vertical="center" wrapText="1"/>
    </xf>
    <xf numFmtId="3" fontId="27" fillId="0" borderId="13" xfId="12" applyNumberFormat="1" applyFont="1" applyFill="1" applyBorder="1" applyAlignment="1">
      <alignment wrapText="1"/>
    </xf>
    <xf numFmtId="3" fontId="27" fillId="0" borderId="14" xfId="12" applyNumberFormat="1" applyFont="1" applyFill="1" applyBorder="1" applyAlignment="1">
      <alignment wrapText="1"/>
    </xf>
    <xf numFmtId="0" fontId="30" fillId="0" borderId="12" xfId="12" quotePrefix="1" applyFont="1" applyFill="1" applyBorder="1" applyAlignment="1">
      <alignment horizontal="left" vertical="center" wrapText="1"/>
    </xf>
    <xf numFmtId="0" fontId="48" fillId="0" borderId="13" xfId="12" applyFont="1" applyFill="1" applyBorder="1" applyAlignment="1">
      <alignment vertical="center" wrapText="1"/>
    </xf>
    <xf numFmtId="3" fontId="48" fillId="0" borderId="13" xfId="12" applyNumberFormat="1" applyFont="1" applyFill="1" applyBorder="1" applyAlignment="1">
      <alignment vertical="center" wrapText="1"/>
    </xf>
    <xf numFmtId="3" fontId="48" fillId="0" borderId="14" xfId="12" applyNumberFormat="1" applyFont="1" applyFill="1" applyBorder="1" applyAlignment="1">
      <alignment vertical="center" wrapText="1"/>
    </xf>
    <xf numFmtId="0" fontId="17" fillId="0" borderId="12" xfId="12" quotePrefix="1" applyFont="1" applyFill="1" applyBorder="1" applyAlignment="1">
      <alignment horizontal="left" vertical="center" wrapText="1"/>
    </xf>
    <xf numFmtId="0" fontId="17" fillId="0" borderId="13" xfId="12" quotePrefix="1" applyFont="1" applyFill="1" applyBorder="1" applyAlignment="1">
      <alignment horizontal="left" vertical="center" wrapText="1"/>
    </xf>
    <xf numFmtId="0" fontId="51" fillId="0" borderId="12" xfId="12" applyFont="1" applyFill="1" applyBorder="1" applyAlignment="1">
      <alignment vertical="center" wrapText="1"/>
    </xf>
    <xf numFmtId="0" fontId="17" fillId="0" borderId="13" xfId="12" applyFont="1" applyFill="1" applyBorder="1" applyAlignment="1">
      <alignment vertical="center" wrapText="1"/>
    </xf>
    <xf numFmtId="168" fontId="27" fillId="0" borderId="13" xfId="12" applyNumberFormat="1" applyFont="1" applyFill="1" applyBorder="1" applyAlignment="1">
      <alignment wrapText="1"/>
    </xf>
    <xf numFmtId="168" fontId="27" fillId="0" borderId="14" xfId="12" applyNumberFormat="1" applyFont="1" applyFill="1" applyBorder="1" applyAlignment="1">
      <alignment wrapText="1"/>
    </xf>
    <xf numFmtId="0" fontId="28" fillId="0" borderId="12" xfId="12" applyFont="1" applyFill="1" applyBorder="1" applyAlignment="1">
      <alignment horizontal="left" vertical="center" wrapText="1"/>
    </xf>
    <xf numFmtId="0" fontId="28" fillId="0" borderId="13" xfId="12" applyFont="1" applyFill="1" applyBorder="1" applyAlignment="1">
      <alignment horizontal="left" vertical="center" wrapText="1"/>
    </xf>
    <xf numFmtId="0" fontId="40" fillId="0" borderId="13" xfId="12" applyFont="1" applyFill="1" applyBorder="1" applyAlignment="1">
      <alignment vertical="center" wrapText="1"/>
    </xf>
    <xf numFmtId="0" fontId="30" fillId="0" borderId="12" xfId="12" applyFont="1" applyFill="1" applyBorder="1" applyAlignment="1">
      <alignment vertical="center" wrapText="1"/>
    </xf>
    <xf numFmtId="0" fontId="30" fillId="0" borderId="13" xfId="12" applyFont="1" applyFill="1" applyBorder="1" applyAlignment="1">
      <alignment vertical="center" wrapText="1"/>
    </xf>
    <xf numFmtId="3" fontId="57" fillId="0" borderId="13" xfId="12" applyNumberFormat="1" applyFont="1" applyFill="1" applyBorder="1" applyAlignment="1">
      <alignment wrapText="1"/>
    </xf>
    <xf numFmtId="3" fontId="57" fillId="0" borderId="14" xfId="12" applyNumberFormat="1" applyFont="1" applyFill="1" applyBorder="1" applyAlignment="1">
      <alignment wrapText="1"/>
    </xf>
    <xf numFmtId="0" fontId="68" fillId="0" borderId="12" xfId="12" applyFont="1" applyFill="1" applyBorder="1" applyAlignment="1">
      <alignment vertical="center" wrapText="1"/>
    </xf>
    <xf numFmtId="0" fontId="68" fillId="0" borderId="13" xfId="12" applyFont="1" applyFill="1" applyBorder="1" applyAlignment="1">
      <alignment vertical="center" wrapText="1"/>
    </xf>
    <xf numFmtId="164" fontId="68" fillId="0" borderId="13" xfId="12" applyNumberFormat="1" applyFont="1" applyFill="1" applyBorder="1" applyAlignment="1">
      <alignment wrapText="1"/>
    </xf>
    <xf numFmtId="164" fontId="68" fillId="0" borderId="14" xfId="12" applyNumberFormat="1" applyFont="1" applyFill="1" applyBorder="1" applyAlignment="1">
      <alignment wrapText="1"/>
    </xf>
    <xf numFmtId="0" fontId="28" fillId="0" borderId="15" xfId="12" applyFont="1" applyFill="1" applyBorder="1" applyAlignment="1">
      <alignment vertical="center" wrapText="1"/>
    </xf>
    <xf numFmtId="0" fontId="30" fillId="0" borderId="16" xfId="8" applyNumberFormat="1" applyFont="1" applyFill="1" applyBorder="1" applyAlignment="1">
      <alignment horizontal="center" vertical="center" wrapText="1"/>
    </xf>
    <xf numFmtId="0" fontId="30" fillId="0" borderId="17" xfId="8" applyNumberFormat="1" applyFont="1" applyFill="1" applyBorder="1" applyAlignment="1">
      <alignment horizontal="center" vertical="center" wrapText="1"/>
    </xf>
    <xf numFmtId="0" fontId="27" fillId="0" borderId="26" xfId="12" applyFont="1" applyBorder="1" applyAlignment="1">
      <alignment wrapText="1"/>
    </xf>
    <xf numFmtId="0" fontId="27" fillId="0" borderId="27" xfId="12" applyFont="1" applyBorder="1" applyAlignment="1">
      <alignment wrapText="1"/>
    </xf>
    <xf numFmtId="0" fontId="27" fillId="0" borderId="27" xfId="12" applyFont="1" applyFill="1" applyBorder="1" applyAlignment="1">
      <alignment wrapText="1"/>
    </xf>
    <xf numFmtId="0" fontId="27" fillId="0" borderId="28" xfId="12" applyFont="1" applyBorder="1" applyAlignment="1">
      <alignment wrapText="1"/>
    </xf>
    <xf numFmtId="0" fontId="28" fillId="0" borderId="15" xfId="12" applyFont="1" applyFill="1" applyBorder="1" applyAlignment="1">
      <alignment horizontal="left" vertical="center"/>
    </xf>
    <xf numFmtId="0" fontId="28" fillId="0" borderId="16" xfId="12" applyFont="1" applyFill="1" applyBorder="1" applyAlignment="1">
      <alignment horizontal="left" vertical="center"/>
    </xf>
    <xf numFmtId="0" fontId="28" fillId="0" borderId="16" xfId="12" applyFont="1" applyFill="1" applyBorder="1" applyAlignment="1">
      <alignment horizontal="left" vertical="center" wrapText="1"/>
    </xf>
    <xf numFmtId="0" fontId="17" fillId="4" borderId="12" xfId="12" quotePrefix="1" applyFont="1" applyFill="1" applyBorder="1" applyAlignment="1">
      <alignment horizontal="left" vertical="center" wrapText="1"/>
    </xf>
    <xf numFmtId="0" fontId="17" fillId="4" borderId="13" xfId="12" quotePrefix="1" applyFont="1" applyFill="1" applyBorder="1" applyAlignment="1">
      <alignment horizontal="left" vertical="center" wrapText="1"/>
    </xf>
    <xf numFmtId="3" fontId="27" fillId="4" borderId="14" xfId="12" applyNumberFormat="1" applyFont="1" applyFill="1" applyBorder="1" applyAlignment="1">
      <alignment wrapText="1"/>
    </xf>
    <xf numFmtId="3" fontId="29" fillId="4" borderId="13" xfId="12" applyNumberFormat="1" applyFont="1" applyFill="1" applyBorder="1" applyAlignment="1">
      <alignment wrapText="1"/>
    </xf>
    <xf numFmtId="3" fontId="34" fillId="4" borderId="13" xfId="12" applyNumberFormat="1" applyFont="1" applyFill="1" applyBorder="1" applyAlignment="1">
      <alignment wrapText="1"/>
    </xf>
    <xf numFmtId="3" fontId="38" fillId="4" borderId="13" xfId="12" applyNumberFormat="1" applyFont="1" applyFill="1" applyBorder="1" applyAlignment="1">
      <alignment vertical="center" wrapText="1"/>
    </xf>
    <xf numFmtId="0" fontId="104" fillId="0" borderId="12" xfId="12" applyFont="1" applyFill="1" applyBorder="1" applyAlignment="1">
      <alignment vertical="center" wrapText="1"/>
    </xf>
    <xf numFmtId="10" fontId="104" fillId="4" borderId="13" xfId="12" applyNumberFormat="1" applyFont="1" applyFill="1" applyBorder="1" applyAlignment="1">
      <alignment wrapText="1"/>
    </xf>
    <xf numFmtId="164" fontId="104" fillId="4" borderId="13" xfId="12" applyNumberFormat="1" applyFont="1" applyFill="1" applyBorder="1" applyAlignment="1">
      <alignment wrapText="1"/>
    </xf>
    <xf numFmtId="164" fontId="104" fillId="0" borderId="13" xfId="12" applyNumberFormat="1" applyFont="1" applyFill="1" applyBorder="1" applyAlignment="1">
      <alignment wrapText="1"/>
    </xf>
    <xf numFmtId="164" fontId="104" fillId="0" borderId="14" xfId="12" applyNumberFormat="1" applyFont="1" applyFill="1" applyBorder="1" applyAlignment="1">
      <alignment wrapText="1"/>
    </xf>
    <xf numFmtId="0" fontId="104" fillId="8" borderId="0" xfId="12" applyFont="1" applyFill="1" applyAlignment="1">
      <alignment wrapText="1"/>
    </xf>
    <xf numFmtId="0" fontId="104" fillId="0" borderId="0" xfId="12" applyFont="1" applyAlignment="1">
      <alignment wrapText="1"/>
    </xf>
    <xf numFmtId="0" fontId="17" fillId="0" borderId="12" xfId="0" applyFont="1" applyFill="1" applyBorder="1" applyAlignment="1">
      <alignment horizontal="left" vertical="center" wrapText="1" indent="2"/>
    </xf>
    <xf numFmtId="0" fontId="29" fillId="0" borderId="13" xfId="0" applyFont="1" applyFill="1" applyBorder="1" applyAlignment="1">
      <alignment horizontal="left" vertical="center" wrapText="1"/>
    </xf>
    <xf numFmtId="0" fontId="27" fillId="0" borderId="13" xfId="0" applyFont="1" applyFill="1" applyBorder="1" applyAlignment="1">
      <alignment vertical="center"/>
    </xf>
    <xf numFmtId="3" fontId="27" fillId="5" borderId="13" xfId="0" applyNumberFormat="1" applyFont="1" applyFill="1" applyBorder="1" applyAlignment="1">
      <alignment vertical="center"/>
    </xf>
    <xf numFmtId="0" fontId="17" fillId="0" borderId="12" xfId="0" applyFont="1" applyFill="1" applyBorder="1" applyAlignment="1">
      <alignment horizontal="left" vertical="center" wrapText="1" indent="1"/>
    </xf>
    <xf numFmtId="0" fontId="17" fillId="0" borderId="13" xfId="0" applyFont="1" applyFill="1" applyBorder="1" applyAlignment="1">
      <alignment horizontal="left" vertical="center" wrapText="1" indent="2"/>
    </xf>
    <xf numFmtId="0" fontId="17" fillId="0" borderId="12" xfId="0" applyFont="1" applyFill="1" applyBorder="1" applyAlignment="1">
      <alignment horizontal="left" wrapText="1" indent="1"/>
    </xf>
    <xf numFmtId="3" fontId="27" fillId="5" borderId="13" xfId="0" applyNumberFormat="1" applyFont="1" applyFill="1" applyBorder="1" applyAlignment="1">
      <alignment wrapText="1"/>
    </xf>
    <xf numFmtId="0" fontId="26" fillId="0" borderId="13" xfId="0" applyFont="1" applyBorder="1" applyAlignment="1">
      <alignment vertical="center"/>
    </xf>
    <xf numFmtId="0" fontId="26" fillId="0" borderId="13" xfId="0" applyFont="1" applyFill="1" applyBorder="1" applyAlignment="1">
      <alignment wrapText="1"/>
    </xf>
    <xf numFmtId="0" fontId="19" fillId="0" borderId="12" xfId="0" applyFont="1" applyFill="1" applyBorder="1" applyAlignment="1">
      <alignment horizontal="left" vertical="center" wrapText="1" indent="1"/>
    </xf>
    <xf numFmtId="0" fontId="19" fillId="0" borderId="13" xfId="0" applyFont="1" applyFill="1" applyBorder="1" applyAlignment="1">
      <alignment horizontal="left" vertical="center" wrapText="1" indent="1"/>
    </xf>
    <xf numFmtId="0" fontId="29" fillId="0" borderId="13" xfId="0" applyFont="1" applyBorder="1" applyAlignment="1">
      <alignment vertical="center"/>
    </xf>
    <xf numFmtId="0" fontId="35" fillId="0" borderId="12" xfId="0" applyFont="1" applyFill="1" applyBorder="1" applyAlignment="1">
      <alignment horizontal="left" vertical="center" wrapText="1" indent="2"/>
    </xf>
    <xf numFmtId="0" fontId="35" fillId="0" borderId="13" xfId="0" applyFont="1" applyFill="1" applyBorder="1" applyAlignment="1">
      <alignment horizontal="left" vertical="center" wrapText="1" indent="2"/>
    </xf>
    <xf numFmtId="0" fontId="34" fillId="0" borderId="13" xfId="0" applyFont="1" applyBorder="1" applyAlignment="1">
      <alignment vertical="center"/>
    </xf>
    <xf numFmtId="0" fontId="34" fillId="0" borderId="13" xfId="0" applyFont="1" applyFill="1" applyBorder="1" applyAlignment="1">
      <alignment wrapText="1"/>
    </xf>
    <xf numFmtId="3" fontId="34" fillId="0" borderId="13" xfId="0" applyNumberFormat="1" applyFont="1" applyFill="1" applyBorder="1" applyAlignment="1">
      <alignment wrapText="1"/>
    </xf>
    <xf numFmtId="3" fontId="34" fillId="0" borderId="14" xfId="0" applyNumberFormat="1" applyFont="1" applyFill="1" applyBorder="1" applyAlignment="1">
      <alignment wrapText="1"/>
    </xf>
    <xf numFmtId="0" fontId="19" fillId="0" borderId="12" xfId="0" applyFont="1" applyFill="1" applyBorder="1" applyAlignment="1">
      <alignment horizontal="left" wrapText="1" indent="1"/>
    </xf>
    <xf numFmtId="0" fontId="17" fillId="0" borderId="13" xfId="0" applyFont="1" applyFill="1" applyBorder="1" applyAlignment="1">
      <alignment horizontal="left" vertical="center" wrapText="1" indent="1"/>
    </xf>
    <xf numFmtId="0" fontId="30" fillId="0" borderId="15"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6" fillId="0" borderId="16" xfId="0" applyFont="1" applyFill="1" applyBorder="1" applyAlignment="1">
      <alignment horizontal="left" vertical="center" wrapText="1"/>
    </xf>
    <xf numFmtId="3" fontId="26" fillId="0" borderId="16" xfId="0" applyNumberFormat="1" applyFont="1" applyBorder="1" applyAlignment="1">
      <alignment vertical="center"/>
    </xf>
    <xf numFmtId="3" fontId="32" fillId="3" borderId="16" xfId="0" applyNumberFormat="1" applyFont="1" applyFill="1" applyBorder="1" applyAlignment="1">
      <alignment horizontal="right" vertical="center" wrapText="1"/>
    </xf>
    <xf numFmtId="3" fontId="26" fillId="0" borderId="16" xfId="0" applyNumberFormat="1" applyFont="1" applyFill="1" applyBorder="1" applyAlignment="1">
      <alignment horizontal="right" wrapText="1"/>
    </xf>
    <xf numFmtId="3" fontId="22" fillId="0" borderId="16" xfId="0" applyNumberFormat="1" applyFont="1" applyBorder="1" applyAlignment="1">
      <alignment horizontal="right" vertical="center"/>
    </xf>
    <xf numFmtId="3" fontId="22" fillId="0" borderId="16" xfId="0" applyNumberFormat="1" applyFont="1" applyBorder="1" applyAlignment="1">
      <alignment vertical="center"/>
    </xf>
    <xf numFmtId="3" fontId="22" fillId="0" borderId="17" xfId="0" applyNumberFormat="1" applyFont="1" applyBorder="1" applyAlignment="1">
      <alignment vertical="center"/>
    </xf>
    <xf numFmtId="0" fontId="17" fillId="3" borderId="26" xfId="0" applyFont="1" applyFill="1" applyBorder="1" applyAlignment="1">
      <alignment horizontal="right" vertical="center" wrapText="1"/>
    </xf>
    <xf numFmtId="0" fontId="28" fillId="0" borderId="15" xfId="0" applyFont="1" applyFill="1" applyBorder="1" applyAlignment="1">
      <alignment vertical="center" wrapText="1"/>
    </xf>
    <xf numFmtId="0" fontId="28" fillId="0" borderId="16" xfId="0" applyFont="1" applyFill="1" applyBorder="1" applyAlignment="1">
      <alignment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7" fillId="3" borderId="27" xfId="0" applyFont="1" applyFill="1" applyBorder="1" applyAlignment="1">
      <alignment vertical="center"/>
    </xf>
    <xf numFmtId="0" fontId="27" fillId="3" borderId="27" xfId="0" applyFont="1" applyFill="1" applyBorder="1" applyAlignment="1">
      <alignment wrapText="1"/>
    </xf>
    <xf numFmtId="0" fontId="27" fillId="3" borderId="28" xfId="0" applyFont="1" applyFill="1" applyBorder="1" applyAlignment="1">
      <alignment wrapText="1"/>
    </xf>
    <xf numFmtId="165" fontId="48" fillId="0" borderId="13" xfId="0" applyNumberFormat="1" applyFont="1" applyBorder="1" applyAlignment="1">
      <alignment horizontal="right" vertical="center" wrapText="1"/>
    </xf>
    <xf numFmtId="0" fontId="19" fillId="4" borderId="13" xfId="8" applyNumberFormat="1" applyFont="1" applyFill="1" applyBorder="1" applyAlignment="1">
      <alignment horizontal="center" vertical="center" wrapText="1"/>
    </xf>
    <xf numFmtId="0" fontId="19" fillId="4" borderId="13" xfId="0" applyFont="1" applyFill="1" applyBorder="1" applyAlignment="1">
      <alignment horizontal="center" vertical="center" wrapText="1"/>
    </xf>
    <xf numFmtId="0" fontId="48" fillId="0" borderId="12" xfId="0" applyFont="1" applyBorder="1" applyAlignment="1">
      <alignment vertical="center" wrapText="1"/>
    </xf>
    <xf numFmtId="165" fontId="48" fillId="0" borderId="14" xfId="0" applyNumberFormat="1" applyFont="1" applyBorder="1" applyAlignment="1">
      <alignment horizontal="right" vertical="center" wrapText="1"/>
    </xf>
    <xf numFmtId="0" fontId="40" fillId="0" borderId="12" xfId="0" applyFont="1" applyBorder="1" applyAlignment="1">
      <alignment horizontal="left" vertical="center" wrapText="1" indent="1"/>
    </xf>
    <xf numFmtId="0" fontId="48" fillId="0" borderId="12" xfId="0" applyFont="1" applyBorder="1" applyAlignment="1">
      <alignment wrapText="1"/>
    </xf>
    <xf numFmtId="0" fontId="48" fillId="0" borderId="13" xfId="0" applyFont="1" applyBorder="1" applyAlignment="1">
      <alignment wrapText="1"/>
    </xf>
    <xf numFmtId="165" fontId="48" fillId="4" borderId="13" xfId="0" applyNumberFormat="1" applyFont="1" applyFill="1" applyBorder="1" applyAlignment="1">
      <alignment horizontal="right" wrapText="1"/>
    </xf>
    <xf numFmtId="165" fontId="48" fillId="0" borderId="13" xfId="0" applyNumberFormat="1" applyFont="1" applyBorder="1" applyAlignment="1">
      <alignment horizontal="right" wrapText="1"/>
    </xf>
    <xf numFmtId="165" fontId="48" fillId="0" borderId="14" xfId="0" applyNumberFormat="1" applyFont="1" applyBorder="1" applyAlignment="1">
      <alignment horizontal="right" wrapText="1"/>
    </xf>
    <xf numFmtId="0" fontId="48" fillId="0" borderId="13" xfId="0" applyFont="1" applyBorder="1" applyAlignment="1">
      <alignment horizontal="left" vertical="center" wrapText="1" indent="1"/>
    </xf>
    <xf numFmtId="165" fontId="30" fillId="0" borderId="14" xfId="0" applyNumberFormat="1" applyFont="1" applyFill="1" applyBorder="1" applyAlignment="1">
      <alignment horizontal="right" vertical="center" wrapText="1"/>
    </xf>
    <xf numFmtId="0" fontId="30" fillId="0" borderId="16" xfId="0" applyFont="1" applyFill="1" applyBorder="1" applyAlignment="1">
      <alignment horizontal="center" vertical="center" wrapText="1"/>
    </xf>
    <xf numFmtId="0" fontId="30" fillId="4" borderId="16" xfId="8" applyNumberFormat="1" applyFont="1" applyFill="1" applyBorder="1" applyAlignment="1">
      <alignment horizontal="center" vertical="center" wrapText="1"/>
    </xf>
    <xf numFmtId="0" fontId="30" fillId="4" borderId="16" xfId="0" applyFont="1" applyFill="1" applyBorder="1" applyAlignment="1">
      <alignment horizontal="center" vertical="center" wrapText="1"/>
    </xf>
    <xf numFmtId="165" fontId="48" fillId="0" borderId="16" xfId="0" applyNumberFormat="1" applyFont="1" applyBorder="1" applyAlignment="1">
      <alignment horizontal="right" vertical="center" wrapText="1"/>
    </xf>
    <xf numFmtId="165" fontId="48" fillId="4" borderId="17" xfId="0" applyNumberFormat="1" applyFont="1" applyFill="1" applyBorder="1" applyAlignment="1">
      <alignment horizontal="right" vertical="center" wrapText="1"/>
    </xf>
    <xf numFmtId="0" fontId="28" fillId="0" borderId="15" xfId="0" applyFont="1" applyBorder="1" applyAlignment="1">
      <alignment vertical="center" wrapText="1"/>
    </xf>
    <xf numFmtId="0" fontId="28" fillId="0" borderId="16" xfId="0" applyFont="1" applyBorder="1" applyAlignment="1">
      <alignment vertical="center" wrapText="1"/>
    </xf>
    <xf numFmtId="3" fontId="56" fillId="0" borderId="16" xfId="0" applyNumberFormat="1" applyFont="1" applyFill="1" applyBorder="1" applyAlignment="1">
      <alignment vertical="center"/>
    </xf>
    <xf numFmtId="3" fontId="56" fillId="0" borderId="17" xfId="0" applyNumberFormat="1" applyFont="1" applyFill="1" applyBorder="1" applyAlignment="1">
      <alignment vertical="center"/>
    </xf>
    <xf numFmtId="0" fontId="64" fillId="3" borderId="24" xfId="0" applyFont="1" applyFill="1" applyBorder="1" applyAlignment="1">
      <alignment vertical="center"/>
    </xf>
    <xf numFmtId="3" fontId="57" fillId="3" borderId="24" xfId="0" applyNumberFormat="1" applyFont="1" applyFill="1" applyBorder="1" applyAlignment="1">
      <alignment vertical="center"/>
    </xf>
    <xf numFmtId="3" fontId="57" fillId="3" borderId="29" xfId="0" applyNumberFormat="1" applyFont="1" applyFill="1" applyBorder="1" applyAlignment="1">
      <alignment vertical="center"/>
    </xf>
    <xf numFmtId="0" fontId="95" fillId="8" borderId="0" xfId="14" applyFont="1" applyFill="1" applyBorder="1"/>
    <xf numFmtId="0" fontId="95" fillId="8" borderId="0" xfId="14" applyFont="1" applyFill="1"/>
    <xf numFmtId="0" fontId="58" fillId="8" borderId="0" xfId="14" applyFont="1" applyFill="1"/>
    <xf numFmtId="0" fontId="16" fillId="8" borderId="0" xfId="14" applyFont="1" applyFill="1"/>
    <xf numFmtId="0" fontId="36" fillId="8" borderId="0" xfId="14" applyFont="1" applyFill="1"/>
    <xf numFmtId="0" fontId="96" fillId="8" borderId="0" xfId="14" applyFont="1" applyFill="1"/>
    <xf numFmtId="0" fontId="18" fillId="8" borderId="0" xfId="14" applyFont="1" applyFill="1"/>
    <xf numFmtId="0" fontId="27" fillId="8" borderId="0" xfId="14" applyFont="1" applyFill="1" applyAlignment="1">
      <alignment wrapText="1"/>
    </xf>
    <xf numFmtId="165" fontId="95" fillId="8" borderId="0" xfId="14" applyNumberFormat="1" applyFont="1" applyFill="1"/>
    <xf numFmtId="0" fontId="95" fillId="8" borderId="0" xfId="14" applyFont="1" applyFill="1" applyAlignment="1">
      <alignment wrapText="1"/>
    </xf>
    <xf numFmtId="0" fontId="16" fillId="8" borderId="0" xfId="14" applyFont="1" applyFill="1" applyAlignment="1">
      <alignment wrapText="1"/>
    </xf>
    <xf numFmtId="0" fontId="28" fillId="3" borderId="0" xfId="14" applyFont="1" applyFill="1" applyBorder="1" applyAlignment="1">
      <alignment vertical="center"/>
    </xf>
    <xf numFmtId="0" fontId="95" fillId="3" borderId="0" xfId="14" applyFont="1" applyFill="1" applyBorder="1"/>
    <xf numFmtId="3" fontId="94" fillId="3" borderId="0" xfId="14" applyNumberFormat="1" applyFont="1" applyFill="1" applyBorder="1" applyAlignment="1">
      <alignment horizontal="left" indent="1"/>
    </xf>
    <xf numFmtId="0" fontId="28" fillId="0" borderId="12" xfId="14" applyFont="1" applyFill="1" applyBorder="1" applyAlignment="1">
      <alignment horizontal="center" vertical="center"/>
    </xf>
    <xf numFmtId="0" fontId="28" fillId="0" borderId="13" xfId="14" applyFont="1" applyFill="1" applyBorder="1" applyAlignment="1">
      <alignment horizontal="center" vertical="center"/>
    </xf>
    <xf numFmtId="165" fontId="30" fillId="0" borderId="14" xfId="8" applyNumberFormat="1" applyFont="1" applyFill="1" applyBorder="1" applyAlignment="1">
      <alignment horizontal="center" vertical="center" wrapText="1"/>
    </xf>
    <xf numFmtId="0" fontId="48" fillId="0" borderId="12" xfId="14" applyFont="1" applyFill="1" applyBorder="1" applyAlignment="1">
      <alignment horizontal="left" vertical="center" wrapText="1"/>
    </xf>
    <xf numFmtId="0" fontId="48" fillId="0" borderId="13" xfId="14" applyFont="1" applyFill="1" applyBorder="1" applyAlignment="1">
      <alignment horizontal="left" vertical="center" wrapText="1"/>
    </xf>
    <xf numFmtId="165" fontId="58" fillId="0" borderId="13" xfId="14" applyNumberFormat="1" applyFont="1" applyBorder="1"/>
    <xf numFmtId="165" fontId="58" fillId="0" borderId="14" xfId="14" applyNumberFormat="1" applyFont="1" applyBorder="1"/>
    <xf numFmtId="0" fontId="17" fillId="0" borderId="12" xfId="14" applyFont="1" applyFill="1" applyBorder="1" applyAlignment="1">
      <alignment horizontal="left" vertical="center" wrapText="1" indent="1"/>
    </xf>
    <xf numFmtId="0" fontId="17" fillId="0" borderId="13" xfId="14" applyFont="1" applyFill="1" applyBorder="1" applyAlignment="1">
      <alignment horizontal="left" vertical="center" wrapText="1" indent="1"/>
    </xf>
    <xf numFmtId="165" fontId="16" fillId="0" borderId="13" xfId="14" applyNumberFormat="1" applyFont="1" applyBorder="1"/>
    <xf numFmtId="165" fontId="16" fillId="0" borderId="14" xfId="14" applyNumberFormat="1" applyFont="1" applyBorder="1"/>
    <xf numFmtId="165" fontId="16" fillId="0" borderId="13" xfId="14" applyNumberFormat="1" applyFont="1" applyFill="1" applyBorder="1"/>
    <xf numFmtId="0" fontId="35" fillId="0" borderId="12" xfId="14" applyFont="1" applyFill="1" applyBorder="1" applyAlignment="1">
      <alignment horizontal="left" vertical="center" wrapText="1" indent="1"/>
    </xf>
    <xf numFmtId="0" fontId="35" fillId="0" borderId="13" xfId="14" applyFont="1" applyFill="1" applyBorder="1" applyAlignment="1">
      <alignment horizontal="left" vertical="center" wrapText="1" indent="1"/>
    </xf>
    <xf numFmtId="165" fontId="36" fillId="0" borderId="13" xfId="14" applyNumberFormat="1" applyFont="1" applyBorder="1"/>
    <xf numFmtId="165" fontId="36" fillId="0" borderId="14" xfId="14" applyNumberFormat="1" applyFont="1" applyBorder="1"/>
    <xf numFmtId="165" fontId="16" fillId="4" borderId="13" xfId="14" applyNumberFormat="1" applyFont="1" applyFill="1" applyBorder="1"/>
    <xf numFmtId="165" fontId="16" fillId="4" borderId="14" xfId="14" applyNumberFormat="1" applyFont="1" applyFill="1" applyBorder="1"/>
    <xf numFmtId="0" fontId="30" fillId="0" borderId="12" xfId="14" applyFont="1" applyFill="1" applyBorder="1" applyAlignment="1">
      <alignment horizontal="left" vertical="center"/>
    </xf>
    <xf numFmtId="0" fontId="30" fillId="0" borderId="13" xfId="14" applyFont="1" applyFill="1" applyBorder="1" applyAlignment="1">
      <alignment horizontal="left" vertical="center"/>
    </xf>
    <xf numFmtId="0" fontId="17" fillId="0" borderId="12" xfId="14" applyFont="1" applyFill="1" applyBorder="1" applyAlignment="1">
      <alignment horizontal="left" vertical="center" wrapText="1"/>
    </xf>
    <xf numFmtId="0" fontId="17" fillId="0" borderId="13" xfId="14" applyFont="1" applyFill="1" applyBorder="1" applyAlignment="1">
      <alignment horizontal="left" vertical="center" wrapText="1"/>
    </xf>
    <xf numFmtId="0" fontId="30" fillId="0" borderId="12" xfId="14" applyFont="1" applyFill="1" applyBorder="1" applyAlignment="1">
      <alignment horizontal="left" vertical="center" wrapText="1"/>
    </xf>
    <xf numFmtId="0" fontId="30" fillId="0" borderId="13" xfId="14" applyFont="1" applyFill="1" applyBorder="1" applyAlignment="1">
      <alignment horizontal="left" vertical="center" wrapText="1"/>
    </xf>
    <xf numFmtId="165" fontId="58" fillId="4" borderId="13" xfId="14" applyNumberFormat="1" applyFont="1" applyFill="1" applyBorder="1"/>
    <xf numFmtId="165" fontId="58" fillId="4" borderId="14" xfId="14" applyNumberFormat="1" applyFont="1" applyFill="1" applyBorder="1"/>
    <xf numFmtId="165" fontId="30" fillId="0" borderId="13" xfId="14" applyNumberFormat="1" applyFont="1" applyFill="1" applyBorder="1" applyAlignment="1">
      <alignment horizontal="right" vertical="center" wrapText="1"/>
    </xf>
    <xf numFmtId="165" fontId="30" fillId="0" borderId="14" xfId="14" applyNumberFormat="1" applyFont="1" applyFill="1" applyBorder="1" applyAlignment="1">
      <alignment horizontal="right" vertical="center" wrapText="1"/>
    </xf>
    <xf numFmtId="0" fontId="93" fillId="0" borderId="12" xfId="14" applyFont="1" applyFill="1" applyBorder="1" applyAlignment="1">
      <alignment vertical="center"/>
    </xf>
    <xf numFmtId="0" fontId="93" fillId="0" borderId="13" xfId="14" applyFont="1" applyFill="1" applyBorder="1" applyAlignment="1">
      <alignment vertical="center"/>
    </xf>
    <xf numFmtId="0" fontId="96" fillId="0" borderId="13" xfId="14" applyFont="1" applyBorder="1"/>
    <xf numFmtId="165" fontId="97" fillId="0" borderId="13" xfId="14" applyNumberFormat="1" applyFont="1" applyBorder="1"/>
    <xf numFmtId="165" fontId="96" fillId="0" borderId="14" xfId="14" applyNumberFormat="1" applyFont="1" applyBorder="1"/>
    <xf numFmtId="0" fontId="30" fillId="0" borderId="12" xfId="14" applyFont="1" applyFill="1" applyBorder="1" applyAlignment="1">
      <alignment vertical="center"/>
    </xf>
    <xf numFmtId="0" fontId="30" fillId="0" borderId="13" xfId="14" applyFont="1" applyFill="1" applyBorder="1" applyAlignment="1">
      <alignment vertical="center"/>
    </xf>
    <xf numFmtId="165" fontId="95" fillId="0" borderId="13" xfId="14" applyNumberFormat="1" applyFont="1" applyBorder="1"/>
    <xf numFmtId="165" fontId="95" fillId="0" borderId="14" xfId="14" applyNumberFormat="1" applyFont="1" applyBorder="1"/>
    <xf numFmtId="0" fontId="17" fillId="0" borderId="12" xfId="14" applyFont="1" applyFill="1" applyBorder="1" applyAlignment="1">
      <alignment vertical="center"/>
    </xf>
    <xf numFmtId="0" fontId="17" fillId="0" borderId="13" xfId="14" applyFont="1" applyFill="1" applyBorder="1" applyAlignment="1">
      <alignment vertical="center"/>
    </xf>
    <xf numFmtId="0" fontId="17" fillId="0" borderId="12" xfId="14" applyFont="1" applyFill="1" applyBorder="1" applyAlignment="1">
      <alignment horizontal="left" vertical="center"/>
    </xf>
    <xf numFmtId="0" fontId="17" fillId="0" borderId="13" xfId="14" applyFont="1" applyFill="1" applyBorder="1" applyAlignment="1">
      <alignment horizontal="left" vertical="center"/>
    </xf>
    <xf numFmtId="0" fontId="17" fillId="0" borderId="12" xfId="14" applyFont="1" applyFill="1" applyBorder="1" applyAlignment="1">
      <alignment wrapText="1"/>
    </xf>
    <xf numFmtId="0" fontId="17" fillId="0" borderId="13" xfId="14" applyFont="1" applyFill="1" applyBorder="1" applyAlignment="1">
      <alignment wrapText="1"/>
    </xf>
    <xf numFmtId="0" fontId="19" fillId="0" borderId="12" xfId="14" applyFont="1" applyFill="1" applyBorder="1" applyAlignment="1">
      <alignment horizontal="left" vertical="center"/>
    </xf>
    <xf numFmtId="0" fontId="19" fillId="0" borderId="13" xfId="14" applyFont="1" applyFill="1" applyBorder="1" applyAlignment="1">
      <alignment horizontal="left" vertical="center"/>
    </xf>
    <xf numFmtId="165" fontId="18" fillId="0" borderId="13" xfId="14" applyNumberFormat="1" applyFont="1" applyBorder="1"/>
    <xf numFmtId="165" fontId="18" fillId="0" borderId="14" xfId="14" applyNumberFormat="1" applyFont="1" applyBorder="1"/>
    <xf numFmtId="0" fontId="30" fillId="0" borderId="12" xfId="8" applyFont="1" applyFill="1" applyBorder="1" applyAlignment="1">
      <alignment horizontal="left" vertical="center"/>
    </xf>
    <xf numFmtId="0" fontId="30" fillId="0" borderId="13" xfId="8" applyFont="1" applyFill="1" applyBorder="1" applyAlignment="1">
      <alignment horizontal="left" vertical="center"/>
    </xf>
    <xf numFmtId="10" fontId="30" fillId="0" borderId="13" xfId="8" applyNumberFormat="1" applyFont="1" applyFill="1" applyBorder="1" applyAlignment="1">
      <alignment horizontal="right" vertical="center" wrapText="1"/>
    </xf>
    <xf numFmtId="10" fontId="30" fillId="0" borderId="14" xfId="8" applyNumberFormat="1" applyFont="1" applyFill="1" applyBorder="1" applyAlignment="1">
      <alignment horizontal="right" vertical="center" wrapText="1"/>
    </xf>
    <xf numFmtId="0" fontId="27" fillId="0" borderId="12" xfId="14" applyFont="1" applyBorder="1" applyAlignment="1">
      <alignment wrapText="1"/>
    </xf>
    <xf numFmtId="0" fontId="27" fillId="0" borderId="13" xfId="14" applyFont="1" applyBorder="1" applyAlignment="1">
      <alignment wrapText="1"/>
    </xf>
    <xf numFmtId="0" fontId="95" fillId="0" borderId="13" xfId="14" applyFont="1" applyBorder="1"/>
    <xf numFmtId="165" fontId="16" fillId="3" borderId="13" xfId="14" applyNumberFormat="1" applyFont="1" applyFill="1" applyBorder="1"/>
    <xf numFmtId="0" fontId="35" fillId="0" borderId="12" xfId="14" applyFont="1" applyFill="1" applyBorder="1" applyAlignment="1">
      <alignment horizontal="left" vertical="center" wrapText="1" indent="2"/>
    </xf>
    <xf numFmtId="165" fontId="30" fillId="3" borderId="13" xfId="14" applyNumberFormat="1" applyFont="1" applyFill="1" applyBorder="1" applyAlignment="1">
      <alignment horizontal="right" vertical="center" wrapText="1"/>
    </xf>
    <xf numFmtId="165" fontId="97" fillId="3" borderId="13" xfId="14" applyNumberFormat="1" applyFont="1" applyFill="1" applyBorder="1"/>
    <xf numFmtId="10" fontId="30" fillId="3" borderId="13" xfId="8" applyNumberFormat="1" applyFont="1" applyFill="1" applyBorder="1" applyAlignment="1">
      <alignment horizontal="right" vertical="center" wrapText="1"/>
    </xf>
    <xf numFmtId="0" fontId="48" fillId="0" borderId="15" xfId="14" applyFont="1" applyFill="1" applyBorder="1" applyAlignment="1">
      <alignment horizontal="left" vertical="center" wrapText="1"/>
    </xf>
    <xf numFmtId="0" fontId="48" fillId="0" borderId="16" xfId="14" applyFont="1" applyFill="1" applyBorder="1" applyAlignment="1">
      <alignment horizontal="left" vertical="center" wrapText="1"/>
    </xf>
    <xf numFmtId="165" fontId="30" fillId="0" borderId="17" xfId="8" applyNumberFormat="1" applyFont="1" applyFill="1" applyBorder="1" applyAlignment="1">
      <alignment horizontal="center" vertical="center" wrapText="1"/>
    </xf>
    <xf numFmtId="0" fontId="28" fillId="0" borderId="18" xfId="14" applyFont="1" applyFill="1" applyBorder="1" applyAlignment="1">
      <alignment horizontal="center" vertical="center"/>
    </xf>
    <xf numFmtId="0" fontId="28" fillId="0" borderId="8" xfId="14" applyFont="1" applyFill="1" applyBorder="1" applyAlignment="1">
      <alignment horizontal="center" vertical="center"/>
    </xf>
    <xf numFmtId="165" fontId="30" fillId="0" borderId="19" xfId="8" applyNumberFormat="1" applyFont="1" applyFill="1" applyBorder="1" applyAlignment="1">
      <alignment horizontal="center" vertical="center" wrapText="1"/>
    </xf>
    <xf numFmtId="0" fontId="98" fillId="3" borderId="30" xfId="15" applyFill="1" applyBorder="1" applyAlignment="1" applyProtection="1">
      <alignment horizontal="left" wrapText="1"/>
    </xf>
    <xf numFmtId="0" fontId="98" fillId="3" borderId="0" xfId="15" applyFill="1" applyBorder="1" applyAlignment="1" applyProtection="1">
      <alignment horizontal="left" wrapText="1"/>
    </xf>
    <xf numFmtId="0" fontId="28" fillId="3" borderId="31" xfId="14" applyFont="1" applyFill="1" applyBorder="1" applyAlignment="1">
      <alignment vertical="center"/>
    </xf>
    <xf numFmtId="0" fontId="17" fillId="3" borderId="0" xfId="0" applyFont="1" applyFill="1" applyAlignment="1">
      <alignment vertical="center"/>
    </xf>
    <xf numFmtId="0" fontId="17" fillId="3" borderId="0" xfId="0" applyFont="1" applyFill="1" applyAlignment="1">
      <alignment horizontal="center"/>
    </xf>
    <xf numFmtId="3" fontId="17" fillId="3" borderId="13" xfId="0" applyNumberFormat="1" applyFont="1" applyFill="1" applyBorder="1" applyAlignment="1">
      <alignment vertical="center"/>
    </xf>
    <xf numFmtId="3" fontId="17" fillId="3" borderId="14" xfId="0" applyNumberFormat="1" applyFont="1" applyFill="1" applyBorder="1" applyAlignment="1">
      <alignment vertical="center"/>
    </xf>
    <xf numFmtId="0" fontId="34" fillId="0" borderId="12" xfId="0" applyFont="1" applyBorder="1" applyAlignment="1">
      <alignment vertical="center" wrapText="1"/>
    </xf>
    <xf numFmtId="0" fontId="34" fillId="0" borderId="13" xfId="0" applyFont="1" applyBorder="1" applyAlignment="1">
      <alignment vertical="center" wrapText="1"/>
    </xf>
    <xf numFmtId="3" fontId="35" fillId="0" borderId="13" xfId="0" applyNumberFormat="1" applyFont="1" applyFill="1" applyBorder="1" applyAlignment="1">
      <alignment horizontal="right" vertical="center" wrapText="1"/>
    </xf>
    <xf numFmtId="3" fontId="34" fillId="4" borderId="14" xfId="0" applyNumberFormat="1" applyFont="1" applyFill="1" applyBorder="1" applyAlignment="1">
      <alignment vertical="center"/>
    </xf>
    <xf numFmtId="3" fontId="36" fillId="0" borderId="13" xfId="0" applyNumberFormat="1" applyFont="1" applyFill="1" applyBorder="1" applyAlignment="1">
      <alignment horizontal="right" vertical="center" wrapText="1"/>
    </xf>
    <xf numFmtId="3" fontId="36" fillId="0" borderId="14" xfId="0" applyNumberFormat="1" applyFont="1" applyFill="1" applyBorder="1" applyAlignment="1">
      <alignment vertical="center"/>
    </xf>
    <xf numFmtId="3" fontId="36" fillId="3" borderId="13" xfId="0" applyNumberFormat="1" applyFont="1" applyFill="1" applyBorder="1" applyAlignment="1">
      <alignment vertical="center"/>
    </xf>
    <xf numFmtId="3" fontId="35" fillId="3" borderId="13" xfId="0" applyNumberFormat="1" applyFont="1" applyFill="1" applyBorder="1" applyAlignment="1">
      <alignment vertical="center"/>
    </xf>
    <xf numFmtId="3" fontId="36" fillId="3" borderId="14" xfId="0" applyNumberFormat="1" applyFont="1" applyFill="1" applyBorder="1" applyAlignment="1">
      <alignment vertical="center"/>
    </xf>
    <xf numFmtId="3" fontId="27" fillId="3" borderId="13" xfId="0" applyNumberFormat="1" applyFont="1" applyFill="1" applyBorder="1" applyAlignment="1">
      <alignment vertical="center"/>
    </xf>
    <xf numFmtId="3" fontId="27" fillId="3" borderId="14" xfId="0" applyNumberFormat="1" applyFont="1" applyFill="1" applyBorder="1" applyAlignment="1">
      <alignment vertical="center"/>
    </xf>
    <xf numFmtId="0" fontId="30" fillId="0" borderId="8" xfId="0" applyFont="1" applyFill="1" applyBorder="1" applyAlignment="1">
      <alignment horizontal="center" vertical="center"/>
    </xf>
    <xf numFmtId="3" fontId="17" fillId="2" borderId="13" xfId="0" applyNumberFormat="1" applyFont="1" applyFill="1" applyBorder="1" applyAlignment="1">
      <alignment vertical="center"/>
    </xf>
    <xf numFmtId="3" fontId="35" fillId="2" borderId="13" xfId="0" applyNumberFormat="1" applyFont="1" applyFill="1" applyBorder="1" applyAlignment="1">
      <alignment vertical="center"/>
    </xf>
    <xf numFmtId="3" fontId="35" fillId="0" borderId="14" xfId="0" applyNumberFormat="1" applyFont="1" applyFill="1" applyBorder="1" applyAlignment="1">
      <alignment horizontal="right" vertical="center" wrapText="1"/>
    </xf>
    <xf numFmtId="3" fontId="36" fillId="0" borderId="14" xfId="0" applyNumberFormat="1" applyFont="1" applyFill="1" applyBorder="1" applyAlignment="1">
      <alignment horizontal="right" vertical="center" wrapText="1"/>
    </xf>
    <xf numFmtId="3" fontId="17" fillId="2" borderId="16" xfId="0" applyNumberFormat="1" applyFont="1" applyFill="1" applyBorder="1" applyAlignment="1">
      <alignment vertical="center"/>
    </xf>
    <xf numFmtId="3" fontId="17" fillId="0" borderId="17" xfId="0" applyNumberFormat="1" applyFont="1" applyFill="1" applyBorder="1" applyAlignment="1">
      <alignment horizontal="right" vertical="center" wrapText="1"/>
    </xf>
    <xf numFmtId="0" fontId="57" fillId="3" borderId="0" xfId="0" applyFont="1" applyFill="1" applyBorder="1" applyAlignment="1">
      <alignment vertical="center" wrapText="1"/>
    </xf>
    <xf numFmtId="0" fontId="60" fillId="3" borderId="27" xfId="0" applyFont="1" applyFill="1" applyBorder="1" applyAlignment="1">
      <alignment vertical="center" wrapText="1"/>
    </xf>
    <xf numFmtId="0" fontId="82" fillId="3" borderId="0" xfId="0" applyFont="1" applyFill="1" applyAlignment="1">
      <alignment vertical="center"/>
    </xf>
    <xf numFmtId="0" fontId="103" fillId="3" borderId="0" xfId="0" applyFont="1" applyFill="1" applyAlignment="1">
      <alignment vertical="center"/>
    </xf>
    <xf numFmtId="3" fontId="82" fillId="3" borderId="0" xfId="0" applyNumberFormat="1" applyFont="1" applyFill="1" applyAlignment="1">
      <alignment wrapText="1"/>
    </xf>
    <xf numFmtId="0" fontId="82" fillId="8" borderId="0" xfId="0" applyFont="1" applyFill="1" applyAlignment="1">
      <alignment wrapText="1"/>
    </xf>
    <xf numFmtId="0" fontId="82" fillId="3" borderId="0" xfId="0" applyFont="1" applyFill="1" applyAlignment="1">
      <alignment wrapText="1"/>
    </xf>
    <xf numFmtId="0" fontId="28" fillId="3" borderId="0" xfId="0" applyFont="1" applyFill="1" applyAlignment="1">
      <alignment horizontal="left" vertical="center" wrapText="1"/>
    </xf>
    <xf numFmtId="0" fontId="105" fillId="3" borderId="0" xfId="0" applyFont="1" applyFill="1" applyAlignment="1">
      <alignment vertical="center"/>
    </xf>
    <xf numFmtId="0" fontId="106" fillId="0" borderId="0" xfId="0" applyFont="1" applyAlignment="1">
      <alignment vertical="top" wrapText="1"/>
    </xf>
    <xf numFmtId="0" fontId="105" fillId="3" borderId="0" xfId="0" applyFont="1" applyFill="1" applyAlignment="1">
      <alignment vertical="top" wrapText="1"/>
    </xf>
    <xf numFmtId="1" fontId="27" fillId="0" borderId="13" xfId="0" applyNumberFormat="1" applyFont="1" applyBorder="1" applyAlignment="1">
      <alignment wrapText="1"/>
    </xf>
    <xf numFmtId="1" fontId="27" fillId="0" borderId="13" xfId="0" applyNumberFormat="1" applyFont="1" applyFill="1" applyBorder="1" applyAlignment="1">
      <alignment wrapText="1"/>
    </xf>
    <xf numFmtId="1" fontId="27" fillId="0" borderId="14" xfId="0" applyNumberFormat="1" applyFont="1" applyBorder="1" applyAlignment="1">
      <alignment wrapText="1"/>
    </xf>
    <xf numFmtId="0" fontId="34" fillId="0" borderId="13" xfId="0" applyFont="1" applyBorder="1" applyAlignment="1">
      <alignment wrapText="1"/>
    </xf>
    <xf numFmtId="1" fontId="34" fillId="4" borderId="13" xfId="0" applyNumberFormat="1" applyFont="1" applyFill="1" applyBorder="1" applyAlignment="1">
      <alignment wrapText="1"/>
    </xf>
    <xf numFmtId="1" fontId="34" fillId="0" borderId="13" xfId="0" applyNumberFormat="1" applyFont="1" applyFill="1" applyBorder="1" applyAlignment="1">
      <alignment wrapText="1"/>
    </xf>
    <xf numFmtId="1" fontId="34" fillId="0" borderId="13" xfId="0" applyNumberFormat="1" applyFont="1" applyBorder="1" applyAlignment="1">
      <alignment wrapText="1"/>
    </xf>
    <xf numFmtId="1" fontId="27" fillId="3" borderId="13" xfId="0" applyNumberFormat="1" applyFont="1" applyFill="1" applyBorder="1" applyAlignment="1">
      <alignment wrapText="1"/>
    </xf>
    <xf numFmtId="1" fontId="28" fillId="0" borderId="13" xfId="0" applyNumberFormat="1" applyFont="1" applyFill="1" applyBorder="1" applyAlignment="1">
      <alignment wrapText="1"/>
    </xf>
    <xf numFmtId="1" fontId="28" fillId="0" borderId="14" xfId="0" applyNumberFormat="1" applyFont="1" applyFill="1" applyBorder="1" applyAlignment="1">
      <alignment wrapText="1"/>
    </xf>
    <xf numFmtId="1" fontId="72" fillId="0" borderId="13" xfId="0" applyNumberFormat="1" applyFont="1" applyFill="1" applyBorder="1"/>
    <xf numFmtId="1" fontId="72" fillId="0" borderId="14" xfId="0" applyNumberFormat="1" applyFont="1" applyFill="1" applyBorder="1"/>
    <xf numFmtId="1" fontId="27" fillId="4" borderId="13" xfId="0" applyNumberFormat="1" applyFont="1" applyFill="1" applyBorder="1" applyAlignment="1">
      <alignment wrapText="1"/>
    </xf>
    <xf numFmtId="1" fontId="72" fillId="4" borderId="13" xfId="0" applyNumberFormat="1" applyFont="1" applyFill="1" applyBorder="1"/>
    <xf numFmtId="1" fontId="72" fillId="4" borderId="14" xfId="0" applyNumberFormat="1" applyFont="1" applyFill="1" applyBorder="1"/>
    <xf numFmtId="0" fontId="29" fillId="4" borderId="13" xfId="0" applyFont="1" applyFill="1" applyBorder="1" applyAlignment="1">
      <alignment wrapText="1"/>
    </xf>
    <xf numFmtId="1" fontId="29" fillId="0" borderId="13" xfId="0" applyNumberFormat="1" applyFont="1" applyBorder="1" applyAlignment="1">
      <alignment wrapText="1"/>
    </xf>
    <xf numFmtId="1" fontId="74" fillId="0" borderId="13" xfId="0" applyNumberFormat="1" applyFont="1" applyFill="1" applyBorder="1"/>
    <xf numFmtId="1" fontId="74" fillId="0" borderId="14" xfId="0" applyNumberFormat="1" applyFont="1" applyFill="1" applyBorder="1"/>
    <xf numFmtId="0" fontId="27" fillId="0" borderId="16" xfId="0" applyFont="1" applyBorder="1" applyAlignment="1">
      <alignment wrapText="1"/>
    </xf>
    <xf numFmtId="1" fontId="27" fillId="0" borderId="16" xfId="0" applyNumberFormat="1" applyFont="1" applyBorder="1" applyAlignment="1">
      <alignment wrapText="1"/>
    </xf>
    <xf numFmtId="1" fontId="27" fillId="0" borderId="16" xfId="0" applyNumberFormat="1" applyFont="1" applyFill="1" applyBorder="1" applyAlignment="1">
      <alignment wrapText="1"/>
    </xf>
    <xf numFmtId="1" fontId="27" fillId="0" borderId="17" xfId="0" applyNumberFormat="1" applyFont="1" applyBorder="1" applyAlignment="1">
      <alignment wrapText="1"/>
    </xf>
    <xf numFmtId="0" fontId="28" fillId="0" borderId="16" xfId="0" applyFont="1" applyBorder="1" applyAlignment="1">
      <alignment wrapText="1"/>
    </xf>
    <xf numFmtId="0" fontId="28" fillId="4" borderId="16" xfId="0" applyFont="1" applyFill="1" applyBorder="1" applyAlignment="1">
      <alignment wrapText="1"/>
    </xf>
    <xf numFmtId="1" fontId="28" fillId="0" borderId="16" xfId="0" applyNumberFormat="1" applyFont="1" applyBorder="1" applyAlignment="1">
      <alignment wrapText="1"/>
    </xf>
    <xf numFmtId="1" fontId="75" fillId="0" borderId="16" xfId="0" applyNumberFormat="1" applyFont="1" applyFill="1" applyBorder="1"/>
    <xf numFmtId="1" fontId="75" fillId="0" borderId="17" xfId="0" applyNumberFormat="1" applyFont="1" applyFill="1" applyBorder="1"/>
    <xf numFmtId="0" fontId="8" fillId="0" borderId="0" xfId="0" applyFont="1" applyBorder="1" applyAlignment="1">
      <alignment vertical="center"/>
    </xf>
    <xf numFmtId="4" fontId="8" fillId="0" borderId="14" xfId="0" applyNumberFormat="1" applyFont="1" applyBorder="1" applyAlignment="1">
      <alignment vertical="center" wrapText="1"/>
    </xf>
    <xf numFmtId="0" fontId="12" fillId="3" borderId="0" xfId="0" applyFont="1" applyFill="1"/>
    <xf numFmtId="4" fontId="8" fillId="0" borderId="13" xfId="0" applyNumberFormat="1" applyFont="1" applyBorder="1" applyAlignment="1">
      <alignment vertical="center" wrapText="1"/>
    </xf>
    <xf numFmtId="4" fontId="8" fillId="0" borderId="13" xfId="0" applyNumberFormat="1" applyFont="1" applyBorder="1" applyAlignment="1">
      <alignment vertical="center"/>
    </xf>
    <xf numFmtId="2" fontId="8" fillId="0" borderId="16" xfId="0" applyNumberFormat="1" applyFont="1" applyBorder="1" applyAlignment="1">
      <alignment vertical="center"/>
    </xf>
    <xf numFmtId="4" fontId="8" fillId="0" borderId="13" xfId="0" applyNumberFormat="1" applyFont="1" applyBorder="1" applyAlignment="1">
      <alignment horizontal="right" vertical="center" wrapText="1"/>
    </xf>
    <xf numFmtId="169" fontId="8" fillId="0" borderId="16" xfId="0" applyNumberFormat="1" applyFont="1" applyBorder="1" applyAlignment="1">
      <alignment vertical="center"/>
    </xf>
    <xf numFmtId="2" fontId="8" fillId="0" borderId="13" xfId="0" applyNumberFormat="1" applyFont="1" applyBorder="1" applyAlignment="1">
      <alignment vertical="center"/>
    </xf>
    <xf numFmtId="2" fontId="8" fillId="0" borderId="0" xfId="0" applyNumberFormat="1" applyFont="1" applyBorder="1" applyAlignment="1">
      <alignment vertical="center"/>
    </xf>
    <xf numFmtId="0" fontId="12" fillId="0" borderId="0" xfId="0" applyFont="1" applyBorder="1" applyAlignment="1">
      <alignment vertical="center"/>
    </xf>
    <xf numFmtId="0" fontId="12" fillId="8" borderId="0" xfId="0" applyFont="1" applyFill="1" applyBorder="1" applyAlignment="1">
      <alignment vertical="center"/>
    </xf>
    <xf numFmtId="0" fontId="8" fillId="0" borderId="31" xfId="0" applyFont="1" applyBorder="1" applyAlignment="1">
      <alignment vertical="center"/>
    </xf>
    <xf numFmtId="10" fontId="8" fillId="0" borderId="13" xfId="0" applyNumberFormat="1" applyFont="1" applyBorder="1" applyAlignment="1">
      <alignment vertical="center"/>
    </xf>
    <xf numFmtId="166" fontId="8" fillId="0" borderId="16" xfId="0" applyNumberFormat="1" applyFont="1" applyBorder="1" applyAlignment="1">
      <alignment vertical="center"/>
    </xf>
    <xf numFmtId="0" fontId="107" fillId="3" borderId="0" xfId="15" applyFont="1" applyFill="1" applyBorder="1" applyAlignment="1" applyProtection="1"/>
    <xf numFmtId="166" fontId="8" fillId="0" borderId="16" xfId="0" applyNumberFormat="1" applyFont="1" applyBorder="1" applyAlignment="1">
      <alignment horizontal="right" vertical="center"/>
    </xf>
    <xf numFmtId="0" fontId="107" fillId="3" borderId="21" xfId="15" applyFont="1" applyFill="1" applyBorder="1" applyAlignment="1" applyProtection="1">
      <alignment horizontal="left" wrapText="1"/>
    </xf>
    <xf numFmtId="2" fontId="8" fillId="0" borderId="0" xfId="0" applyNumberFormat="1" applyFont="1" applyBorder="1" applyAlignment="1">
      <alignment horizontal="right" vertical="center"/>
    </xf>
    <xf numFmtId="10" fontId="8" fillId="0" borderId="13" xfId="0" applyNumberFormat="1" applyFont="1" applyBorder="1" applyAlignment="1">
      <alignment horizontal="right" vertical="center"/>
    </xf>
    <xf numFmtId="0" fontId="107" fillId="3" borderId="20" xfId="15" applyFont="1" applyFill="1" applyBorder="1" applyAlignment="1" applyProtection="1">
      <alignment horizontal="left"/>
    </xf>
    <xf numFmtId="2" fontId="8" fillId="0" borderId="16" xfId="0" applyNumberFormat="1" applyFont="1" applyBorder="1" applyAlignment="1">
      <alignment horizontal="right" vertical="center"/>
    </xf>
    <xf numFmtId="0" fontId="107" fillId="3" borderId="22" xfId="15" applyFont="1" applyFill="1" applyBorder="1" applyAlignment="1" applyProtection="1">
      <alignment wrapText="1"/>
    </xf>
    <xf numFmtId="0" fontId="107" fillId="3" borderId="0" xfId="15" applyFont="1" applyFill="1" applyBorder="1" applyAlignment="1" applyProtection="1">
      <alignment vertical="center"/>
    </xf>
    <xf numFmtId="0" fontId="107" fillId="3" borderId="22" xfId="15" applyFont="1" applyFill="1" applyBorder="1" applyAlignment="1" applyProtection="1">
      <alignment vertical="center"/>
    </xf>
    <xf numFmtId="0" fontId="107" fillId="3" borderId="22" xfId="15" applyFont="1" applyFill="1" applyBorder="1" applyAlignment="1" applyProtection="1"/>
    <xf numFmtId="0" fontId="32" fillId="3" borderId="32" xfId="0" applyFont="1" applyFill="1" applyBorder="1" applyAlignment="1">
      <alignment horizontal="center"/>
    </xf>
    <xf numFmtId="0" fontId="32" fillId="3" borderId="33" xfId="0" applyFont="1" applyFill="1" applyBorder="1" applyAlignment="1">
      <alignment horizontal="center"/>
    </xf>
    <xf numFmtId="0" fontId="30" fillId="3" borderId="12" xfId="0" applyFont="1" applyFill="1" applyBorder="1" applyAlignment="1">
      <alignment horizontal="left" vertical="center" wrapText="1"/>
    </xf>
    <xf numFmtId="0" fontId="28" fillId="3" borderId="13" xfId="0" applyFont="1" applyFill="1" applyBorder="1" applyAlignment="1">
      <alignment vertical="center" wrapText="1"/>
    </xf>
    <xf numFmtId="3" fontId="28" fillId="3" borderId="13" xfId="0" applyNumberFormat="1" applyFont="1" applyFill="1" applyBorder="1" applyAlignment="1">
      <alignment vertical="center"/>
    </xf>
    <xf numFmtId="3" fontId="30" fillId="3" borderId="13" xfId="0" applyNumberFormat="1" applyFont="1" applyFill="1" applyBorder="1" applyAlignment="1">
      <alignment vertical="center"/>
    </xf>
    <xf numFmtId="3" fontId="30" fillId="3" borderId="13" xfId="0" applyNumberFormat="1" applyFont="1" applyFill="1" applyBorder="1" applyAlignment="1">
      <alignment horizontal="right" vertical="center" wrapText="1"/>
    </xf>
    <xf numFmtId="3" fontId="27" fillId="0" borderId="13" xfId="0" applyNumberFormat="1" applyFont="1" applyBorder="1" applyAlignment="1">
      <alignment vertical="center"/>
    </xf>
    <xf numFmtId="3" fontId="29" fillId="0" borderId="13" xfId="0" applyNumberFormat="1" applyFont="1" applyFill="1" applyBorder="1" applyAlignment="1">
      <alignment vertical="center"/>
    </xf>
    <xf numFmtId="3" fontId="27" fillId="0" borderId="16" xfId="0" applyNumberFormat="1" applyFont="1" applyBorder="1" applyAlignment="1">
      <alignment vertical="center"/>
    </xf>
    <xf numFmtId="164" fontId="17" fillId="3" borderId="13" xfId="0" applyNumberFormat="1" applyFont="1" applyFill="1" applyBorder="1" applyAlignment="1">
      <alignment vertical="center"/>
    </xf>
    <xf numFmtId="3" fontId="26" fillId="3" borderId="0" xfId="0" applyNumberFormat="1" applyFont="1" applyFill="1" applyAlignment="1">
      <alignment wrapText="1"/>
    </xf>
    <xf numFmtId="3" fontId="57" fillId="3" borderId="0" xfId="0" applyNumberFormat="1" applyFont="1" applyFill="1" applyAlignment="1">
      <alignment wrapText="1"/>
    </xf>
    <xf numFmtId="3" fontId="26" fillId="0" borderId="0" xfId="0" applyNumberFormat="1" applyFont="1" applyFill="1" applyBorder="1" applyAlignment="1">
      <alignment wrapText="1"/>
    </xf>
    <xf numFmtId="3" fontId="26" fillId="3" borderId="0" xfId="0" applyNumberFormat="1" applyFont="1" applyFill="1" applyBorder="1" applyAlignment="1">
      <alignment wrapText="1"/>
    </xf>
    <xf numFmtId="3" fontId="88" fillId="8" borderId="0" xfId="0" applyNumberFormat="1" applyFont="1" applyFill="1" applyBorder="1" applyAlignment="1">
      <alignment vertical="center"/>
    </xf>
    <xf numFmtId="3" fontId="88" fillId="8" borderId="0" xfId="0" applyNumberFormat="1" applyFont="1" applyFill="1" applyBorder="1" applyAlignment="1">
      <alignment horizontal="right" vertical="center" wrapText="1"/>
    </xf>
    <xf numFmtId="3" fontId="20" fillId="8" borderId="0" xfId="0" applyNumberFormat="1" applyFont="1" applyFill="1" applyBorder="1" applyAlignment="1">
      <alignment vertical="center"/>
    </xf>
    <xf numFmtId="3" fontId="37" fillId="8" borderId="0" xfId="0" applyNumberFormat="1" applyFont="1" applyFill="1" applyBorder="1" applyAlignment="1">
      <alignment vertical="center"/>
    </xf>
    <xf numFmtId="3" fontId="31" fillId="8" borderId="0" xfId="0" applyNumberFormat="1" applyFont="1" applyFill="1" applyBorder="1" applyAlignment="1">
      <alignment vertical="center"/>
    </xf>
    <xf numFmtId="0" fontId="31" fillId="8" borderId="0" xfId="0" applyFont="1" applyFill="1" applyBorder="1" applyAlignment="1">
      <alignment wrapText="1"/>
    </xf>
    <xf numFmtId="3" fontId="91" fillId="8" borderId="0" xfId="0" applyNumberFormat="1" applyFont="1" applyFill="1" applyBorder="1" applyAlignment="1">
      <alignment vertical="center"/>
    </xf>
    <xf numFmtId="3" fontId="31" fillId="8" borderId="0" xfId="0" applyNumberFormat="1" applyFont="1" applyFill="1" applyBorder="1" applyAlignment="1">
      <alignment wrapText="1"/>
    </xf>
    <xf numFmtId="3" fontId="90" fillId="8" borderId="0" xfId="0" applyNumberFormat="1" applyFont="1" applyFill="1" applyBorder="1" applyAlignment="1">
      <alignment vertical="center"/>
    </xf>
    <xf numFmtId="3" fontId="87" fillId="8" borderId="0" xfId="0" applyNumberFormat="1" applyFont="1" applyFill="1" applyBorder="1" applyAlignment="1"/>
    <xf numFmtId="3" fontId="28" fillId="0" borderId="8" xfId="0" applyNumberFormat="1" applyFont="1" applyFill="1" applyBorder="1" applyAlignment="1">
      <alignment horizontal="center" vertical="center"/>
    </xf>
    <xf numFmtId="3" fontId="8" fillId="0" borderId="11" xfId="0" applyNumberFormat="1" applyFont="1" applyBorder="1" applyAlignment="1">
      <alignment vertical="center" wrapText="1"/>
    </xf>
    <xf numFmtId="164" fontId="17" fillId="0" borderId="13" xfId="0" applyNumberFormat="1" applyFont="1" applyBorder="1" applyAlignment="1">
      <alignment vertical="center"/>
    </xf>
    <xf numFmtId="164" fontId="17" fillId="0" borderId="13" xfId="0" applyNumberFormat="1" applyFont="1" applyFill="1" applyBorder="1" applyAlignment="1">
      <alignment vertical="center"/>
    </xf>
    <xf numFmtId="3" fontId="27" fillId="0" borderId="13" xfId="0" applyNumberFormat="1" applyFont="1" applyBorder="1" applyAlignment="1">
      <alignment vertical="center"/>
    </xf>
    <xf numFmtId="3" fontId="19" fillId="0" borderId="13" xfId="0" applyNumberFormat="1" applyFont="1" applyFill="1" applyBorder="1" applyAlignment="1">
      <alignment horizontal="right" vertical="center" wrapText="1"/>
    </xf>
    <xf numFmtId="3" fontId="19" fillId="0" borderId="13" xfId="0" applyNumberFormat="1" applyFont="1" applyBorder="1" applyAlignment="1">
      <alignment vertical="center"/>
    </xf>
    <xf numFmtId="3" fontId="29" fillId="0" borderId="13" xfId="0" applyNumberFormat="1" applyFont="1" applyBorder="1" applyAlignment="1">
      <alignment vertical="center"/>
    </xf>
    <xf numFmtId="3" fontId="16" fillId="0" borderId="13" xfId="0" applyNumberFormat="1" applyFont="1" applyFill="1" applyBorder="1" applyAlignment="1">
      <alignment vertical="center"/>
    </xf>
    <xf numFmtId="3" fontId="29" fillId="0" borderId="14" xfId="0" applyNumberFormat="1" applyFont="1" applyBorder="1" applyAlignment="1">
      <alignment vertical="center"/>
    </xf>
    <xf numFmtId="3" fontId="17" fillId="0" borderId="16" xfId="0" applyNumberFormat="1" applyFont="1" applyFill="1" applyBorder="1" applyAlignment="1">
      <alignment horizontal="right" vertical="center" wrapText="1"/>
    </xf>
    <xf numFmtId="3" fontId="60" fillId="3" borderId="0" xfId="0" applyNumberFormat="1" applyFont="1" applyFill="1" applyBorder="1" applyAlignment="1">
      <alignment horizontal="right" vertical="center" wrapText="1"/>
    </xf>
    <xf numFmtId="3" fontId="43" fillId="0" borderId="13" xfId="0" applyNumberFormat="1" applyFont="1" applyFill="1" applyBorder="1" applyAlignment="1">
      <alignment vertical="center"/>
    </xf>
    <xf numFmtId="3" fontId="43" fillId="0" borderId="13" xfId="0" applyNumberFormat="1" applyFont="1" applyBorder="1" applyAlignment="1">
      <alignment vertical="center"/>
    </xf>
    <xf numFmtId="3" fontId="43" fillId="0" borderId="14" xfId="0" applyNumberFormat="1" applyFont="1" applyBorder="1" applyAlignment="1">
      <alignment vertical="center"/>
    </xf>
    <xf numFmtId="3" fontId="34" fillId="0" borderId="13" xfId="0" applyNumberFormat="1" applyFont="1" applyFill="1" applyBorder="1" applyAlignment="1">
      <alignment vertical="center"/>
    </xf>
    <xf numFmtId="3" fontId="34" fillId="0" borderId="13" xfId="0" applyNumberFormat="1" applyFont="1" applyBorder="1" applyAlignment="1">
      <alignment vertical="center"/>
    </xf>
    <xf numFmtId="3" fontId="34" fillId="0" borderId="14" xfId="0" applyNumberFormat="1" applyFont="1" applyBorder="1" applyAlignment="1">
      <alignment vertical="center"/>
    </xf>
    <xf numFmtId="3" fontId="43" fillId="0" borderId="13" xfId="0" applyNumberFormat="1" applyFont="1" applyBorder="1" applyAlignment="1">
      <alignment vertical="center" wrapText="1"/>
    </xf>
    <xf numFmtId="3" fontId="28" fillId="0" borderId="13" xfId="0" applyNumberFormat="1" applyFont="1" applyFill="1" applyBorder="1" applyAlignment="1">
      <alignment vertical="center"/>
    </xf>
    <xf numFmtId="3" fontId="51" fillId="0" borderId="13" xfId="0" applyNumberFormat="1" applyFont="1" applyFill="1" applyBorder="1" applyAlignment="1">
      <alignment horizontal="right" vertical="center" wrapText="1"/>
    </xf>
    <xf numFmtId="3" fontId="29" fillId="0" borderId="16" xfId="0" applyNumberFormat="1" applyFont="1" applyBorder="1" applyAlignment="1">
      <alignment vertical="center"/>
    </xf>
    <xf numFmtId="3" fontId="29" fillId="0" borderId="17" xfId="0" applyNumberFormat="1" applyFont="1" applyBorder="1" applyAlignment="1">
      <alignment vertical="center"/>
    </xf>
    <xf numFmtId="3" fontId="18" fillId="0" borderId="13" xfId="0" applyNumberFormat="1" applyFont="1" applyFill="1" applyBorder="1" applyAlignment="1">
      <alignment vertical="center"/>
    </xf>
    <xf numFmtId="3" fontId="50" fillId="0" borderId="13" xfId="0" applyNumberFormat="1" applyFont="1" applyFill="1" applyBorder="1" applyAlignment="1">
      <alignment vertical="center"/>
    </xf>
    <xf numFmtId="3" fontId="26" fillId="3" borderId="27" xfId="0" applyNumberFormat="1" applyFont="1" applyFill="1" applyBorder="1" applyAlignment="1">
      <alignment wrapText="1"/>
    </xf>
    <xf numFmtId="3" fontId="19" fillId="0" borderId="16" xfId="0" applyNumberFormat="1" applyFont="1" applyBorder="1" applyAlignment="1">
      <alignment vertical="center"/>
    </xf>
    <xf numFmtId="3" fontId="16" fillId="0" borderId="16" xfId="0" applyNumberFormat="1" applyFont="1" applyFill="1" applyBorder="1" applyAlignment="1">
      <alignment vertical="center"/>
    </xf>
    <xf numFmtId="0" fontId="35" fillId="0" borderId="12" xfId="12" quotePrefix="1" applyFont="1" applyFill="1" applyBorder="1" applyAlignment="1">
      <alignment horizontal="left" vertical="center" wrapText="1"/>
    </xf>
    <xf numFmtId="164" fontId="17" fillId="0" borderId="14" xfId="0" applyNumberFormat="1" applyFont="1" applyFill="1" applyBorder="1" applyAlignment="1">
      <alignment horizontal="right" vertical="center" wrapText="1"/>
    </xf>
    <xf numFmtId="3" fontId="17" fillId="4" borderId="13" xfId="12" applyNumberFormat="1" applyFont="1" applyFill="1" applyBorder="1" applyAlignment="1">
      <alignment horizontal="right" vertical="center" wrapText="1"/>
    </xf>
    <xf numFmtId="3" fontId="27" fillId="0" borderId="14" xfId="12" applyNumberFormat="1" applyFont="1" applyFill="1" applyBorder="1" applyAlignment="1">
      <alignment horizontal="right" wrapText="1"/>
    </xf>
    <xf numFmtId="3" fontId="35" fillId="4" borderId="13" xfId="12" applyNumberFormat="1" applyFont="1" applyFill="1" applyBorder="1" applyAlignment="1">
      <alignment horizontal="right" vertical="center" wrapText="1"/>
    </xf>
    <xf numFmtId="3" fontId="35" fillId="0" borderId="13" xfId="12" applyNumberFormat="1" applyFont="1" applyFill="1" applyBorder="1" applyAlignment="1">
      <alignment horizontal="right" vertical="center" wrapText="1"/>
    </xf>
    <xf numFmtId="3" fontId="35" fillId="0" borderId="14" xfId="12" applyNumberFormat="1" applyFont="1" applyFill="1" applyBorder="1" applyAlignment="1">
      <alignment horizontal="right" vertical="center" wrapText="1"/>
    </xf>
    <xf numFmtId="3" fontId="17" fillId="4" borderId="14" xfId="12" applyNumberFormat="1" applyFont="1" applyFill="1" applyBorder="1" applyAlignment="1">
      <alignment horizontal="right" vertical="center" wrapText="1"/>
    </xf>
    <xf numFmtId="3" fontId="19" fillId="0" borderId="13" xfId="12" applyNumberFormat="1" applyFont="1" applyFill="1" applyBorder="1" applyAlignment="1">
      <alignment horizontal="right" vertical="center" wrapText="1"/>
    </xf>
    <xf numFmtId="3" fontId="19" fillId="0" borderId="14" xfId="12" applyNumberFormat="1" applyFont="1" applyFill="1" applyBorder="1" applyAlignment="1">
      <alignment horizontal="right" vertical="center" wrapText="1"/>
    </xf>
    <xf numFmtId="0" fontId="43" fillId="0" borderId="12" xfId="0" applyFont="1" applyBorder="1" applyAlignment="1">
      <alignment vertical="center"/>
    </xf>
    <xf numFmtId="3" fontId="43" fillId="0" borderId="13" xfId="0" applyNumberFormat="1" applyFont="1" applyBorder="1" applyAlignment="1">
      <alignment horizontal="right" vertical="center" wrapText="1"/>
    </xf>
    <xf numFmtId="3" fontId="43" fillId="0" borderId="14" xfId="0" applyNumberFormat="1" applyFont="1" applyBorder="1" applyAlignment="1">
      <alignment vertical="center" wrapText="1"/>
    </xf>
    <xf numFmtId="0" fontId="55" fillId="0" borderId="0" xfId="0" applyFont="1" applyAlignment="1">
      <alignment wrapText="1"/>
    </xf>
    <xf numFmtId="0" fontId="106" fillId="0" borderId="0" xfId="0" applyNumberFormat="1" applyFont="1" applyBorder="1" applyAlignment="1">
      <alignment vertical="center" wrapText="1"/>
    </xf>
    <xf numFmtId="0" fontId="106" fillId="0" borderId="0" xfId="0" applyNumberFormat="1" applyFont="1" applyBorder="1" applyAlignment="1">
      <alignment vertical="top" wrapText="1"/>
    </xf>
    <xf numFmtId="165" fontId="38" fillId="0" borderId="13" xfId="0" applyNumberFormat="1" applyFont="1" applyBorder="1" applyAlignment="1">
      <alignment horizontal="right" vertical="center" wrapText="1"/>
    </xf>
    <xf numFmtId="165" fontId="38" fillId="0" borderId="14" xfId="0" applyNumberFormat="1" applyFont="1" applyBorder="1" applyAlignment="1">
      <alignment horizontal="right" vertical="center" wrapText="1"/>
    </xf>
    <xf numFmtId="164" fontId="17" fillId="0" borderId="13" xfId="31" applyNumberFormat="1" applyFont="1" applyBorder="1" applyAlignment="1">
      <alignment vertical="center" wrapText="1"/>
    </xf>
    <xf numFmtId="164" fontId="27" fillId="0" borderId="14" xfId="31" applyNumberFormat="1" applyFont="1" applyBorder="1" applyAlignment="1">
      <alignment vertical="center" wrapText="1"/>
    </xf>
    <xf numFmtId="0" fontId="8" fillId="3" borderId="0" xfId="0" applyFont="1" applyFill="1" applyBorder="1" applyAlignment="1">
      <alignment vertical="center"/>
    </xf>
    <xf numFmtId="2" fontId="8" fillId="3" borderId="0" xfId="0" applyNumberFormat="1" applyFont="1" applyFill="1" applyBorder="1" applyAlignment="1">
      <alignment vertical="center"/>
    </xf>
    <xf numFmtId="0" fontId="12" fillId="3" borderId="0" xfId="0" applyFont="1" applyFill="1" applyAlignment="1">
      <alignment vertical="center"/>
    </xf>
    <xf numFmtId="0" fontId="16" fillId="3" borderId="0" xfId="30" applyFont="1" applyFill="1" applyBorder="1" applyAlignment="1">
      <alignment vertical="center" wrapText="1"/>
    </xf>
    <xf numFmtId="3" fontId="35" fillId="3" borderId="13" xfId="12" applyNumberFormat="1" applyFont="1" applyFill="1" applyBorder="1" applyAlignment="1">
      <alignment horizontal="right" vertical="center" wrapText="1"/>
    </xf>
    <xf numFmtId="164" fontId="19" fillId="0" borderId="13" xfId="12" applyNumberFormat="1" applyFont="1" applyFill="1" applyBorder="1" applyAlignment="1">
      <alignment wrapText="1"/>
    </xf>
    <xf numFmtId="10" fontId="27" fillId="3" borderId="0" xfId="1" applyNumberFormat="1" applyFont="1" applyFill="1" applyAlignment="1">
      <alignment vertical="top" wrapText="1"/>
    </xf>
    <xf numFmtId="0" fontId="83" fillId="3" borderId="0" xfId="0" applyFont="1" applyFill="1" applyAlignment="1">
      <alignment horizontal="center" wrapText="1"/>
    </xf>
    <xf numFmtId="1" fontId="28" fillId="3" borderId="13" xfId="0" applyNumberFormat="1" applyFont="1" applyFill="1" applyBorder="1" applyAlignment="1">
      <alignment wrapText="1"/>
    </xf>
    <xf numFmtId="0" fontId="28" fillId="3" borderId="0" xfId="0" applyFont="1" applyFill="1" applyBorder="1" applyAlignment="1">
      <alignment horizontal="left" vertical="center" wrapText="1"/>
    </xf>
    <xf numFmtId="10" fontId="17" fillId="3" borderId="13" xfId="0" applyNumberFormat="1" applyFont="1" applyFill="1" applyBorder="1" applyAlignment="1">
      <alignment vertical="center"/>
    </xf>
    <xf numFmtId="10" fontId="17" fillId="3" borderId="13" xfId="0" applyNumberFormat="1" applyFont="1" applyFill="1" applyBorder="1" applyAlignment="1">
      <alignment vertical="center" wrapText="1"/>
    </xf>
    <xf numFmtId="0" fontId="29" fillId="0" borderId="13" xfId="12" applyFont="1" applyBorder="1" applyAlignment="1">
      <alignment vertical="center" wrapText="1"/>
    </xf>
    <xf numFmtId="0" fontId="26" fillId="0" borderId="0" xfId="12" applyFont="1" applyFill="1" applyAlignment="1">
      <alignment vertical="center" wrapText="1"/>
    </xf>
    <xf numFmtId="0" fontId="29" fillId="0" borderId="12" xfId="12" applyFont="1" applyBorder="1" applyAlignment="1">
      <alignment vertical="center" wrapText="1"/>
    </xf>
    <xf numFmtId="3" fontId="29" fillId="0" borderId="13" xfId="12" applyNumberFormat="1" applyFont="1" applyBorder="1" applyAlignment="1">
      <alignment vertical="center" wrapText="1"/>
    </xf>
    <xf numFmtId="3" fontId="29" fillId="0" borderId="14" xfId="12" applyNumberFormat="1" applyFont="1" applyBorder="1" applyAlignment="1">
      <alignment vertical="center" wrapText="1"/>
    </xf>
    <xf numFmtId="0" fontId="29" fillId="8" borderId="0" xfId="12" applyFont="1" applyFill="1" applyAlignment="1">
      <alignment vertical="center" wrapText="1"/>
    </xf>
    <xf numFmtId="0" fontId="29" fillId="0" borderId="0" xfId="12" applyFont="1" applyAlignment="1">
      <alignment vertical="center" wrapText="1"/>
    </xf>
    <xf numFmtId="3" fontId="27" fillId="7" borderId="13" xfId="12" applyNumberFormat="1" applyFont="1" applyFill="1" applyBorder="1" applyAlignment="1">
      <alignment vertical="center" wrapText="1"/>
    </xf>
    <xf numFmtId="3" fontId="27" fillId="0" borderId="14" xfId="12" applyNumberFormat="1" applyFont="1" applyBorder="1" applyAlignment="1">
      <alignment vertical="center" wrapText="1"/>
    </xf>
    <xf numFmtId="0" fontId="27" fillId="8" borderId="0" xfId="12" applyFont="1" applyFill="1" applyAlignment="1">
      <alignment vertical="center" wrapText="1"/>
    </xf>
    <xf numFmtId="0" fontId="27" fillId="0" borderId="0" xfId="12" applyFont="1" applyAlignment="1">
      <alignment vertical="center" wrapText="1"/>
    </xf>
    <xf numFmtId="3" fontId="29" fillId="0" borderId="13" xfId="12" applyNumberFormat="1" applyFont="1" applyFill="1" applyBorder="1" applyAlignment="1">
      <alignment vertical="center" wrapText="1"/>
    </xf>
    <xf numFmtId="0" fontId="27" fillId="4" borderId="12" xfId="12" applyFont="1" applyFill="1" applyBorder="1" applyAlignment="1">
      <alignment vertical="center" wrapText="1"/>
    </xf>
    <xf numFmtId="0" fontId="27" fillId="4" borderId="13" xfId="12" applyFont="1" applyFill="1" applyBorder="1" applyAlignment="1">
      <alignment vertical="center" wrapText="1"/>
    </xf>
    <xf numFmtId="3" fontId="27" fillId="4" borderId="13" xfId="12" applyNumberFormat="1" applyFont="1" applyFill="1" applyBorder="1" applyAlignment="1">
      <alignment vertical="center" wrapText="1"/>
    </xf>
    <xf numFmtId="3" fontId="27" fillId="4" borderId="14" xfId="12" applyNumberFormat="1" applyFont="1" applyFill="1" applyBorder="1" applyAlignment="1">
      <alignment vertical="center" wrapText="1"/>
    </xf>
    <xf numFmtId="0" fontId="78" fillId="0" borderId="0" xfId="12" applyFont="1" applyAlignment="1">
      <alignment vertical="center" wrapText="1"/>
    </xf>
    <xf numFmtId="3" fontId="78" fillId="0" borderId="0" xfId="12" applyNumberFormat="1" applyFont="1" applyAlignment="1">
      <alignment vertical="center" wrapText="1"/>
    </xf>
    <xf numFmtId="0" fontId="78" fillId="8" borderId="0" xfId="12" applyFont="1" applyFill="1" applyAlignment="1">
      <alignment vertical="center" wrapText="1"/>
    </xf>
    <xf numFmtId="0" fontId="43" fillId="0" borderId="0" xfId="12" applyFont="1" applyAlignment="1">
      <alignment vertical="center" wrapText="1"/>
    </xf>
    <xf numFmtId="3" fontId="27" fillId="0" borderId="0" xfId="12" applyNumberFormat="1" applyFont="1" applyAlignment="1">
      <alignment vertical="center" wrapText="1"/>
    </xf>
    <xf numFmtId="0" fontId="43" fillId="3" borderId="0" xfId="0" applyFont="1" applyFill="1" applyAlignment="1">
      <alignment vertical="center" wrapText="1"/>
    </xf>
    <xf numFmtId="0" fontId="43" fillId="0" borderId="0" xfId="0" applyFont="1" applyAlignment="1">
      <alignment vertical="center" wrapText="1"/>
    </xf>
    <xf numFmtId="0" fontId="106" fillId="0" borderId="0" xfId="0" applyFont="1" applyAlignment="1">
      <alignment vertical="center" wrapText="1"/>
    </xf>
    <xf numFmtId="0" fontId="105" fillId="3" borderId="0" xfId="0" applyFont="1" applyFill="1" applyAlignment="1">
      <alignment vertical="center" wrapText="1"/>
    </xf>
    <xf numFmtId="0" fontId="27" fillId="0" borderId="27" xfId="0" applyFont="1" applyBorder="1" applyAlignment="1">
      <alignment wrapText="1"/>
    </xf>
    <xf numFmtId="0" fontId="27" fillId="3" borderId="0" xfId="0" applyFont="1" applyFill="1" applyBorder="1" applyAlignment="1">
      <alignment wrapText="1"/>
    </xf>
    <xf numFmtId="0" fontId="27" fillId="3" borderId="24" xfId="0" applyFont="1" applyFill="1" applyBorder="1" applyAlignment="1">
      <alignment wrapText="1"/>
    </xf>
    <xf numFmtId="3" fontId="57" fillId="0" borderId="1" xfId="0" applyNumberFormat="1" applyFont="1" applyFill="1" applyBorder="1" applyAlignment="1">
      <alignment horizontal="right" vertical="center" wrapText="1"/>
    </xf>
    <xf numFmtId="3" fontId="27" fillId="0" borderId="14" xfId="0" applyNumberFormat="1" applyFont="1" applyBorder="1" applyAlignment="1">
      <alignment vertical="center"/>
    </xf>
    <xf numFmtId="3" fontId="16" fillId="0" borderId="14" xfId="0" applyNumberFormat="1" applyFont="1" applyFill="1" applyBorder="1" applyAlignment="1">
      <alignment vertical="center"/>
    </xf>
    <xf numFmtId="3" fontId="43" fillId="0" borderId="14" xfId="0" applyNumberFormat="1" applyFont="1" applyBorder="1" applyAlignment="1">
      <alignment vertical="center"/>
    </xf>
    <xf numFmtId="3" fontId="28" fillId="0" borderId="14" xfId="0" applyNumberFormat="1" applyFont="1" applyFill="1" applyBorder="1" applyAlignment="1">
      <alignment vertical="center"/>
    </xf>
    <xf numFmtId="3" fontId="50" fillId="0" borderId="14" xfId="0" applyNumberFormat="1" applyFont="1" applyFill="1" applyBorder="1" applyAlignment="1">
      <alignment vertical="center"/>
    </xf>
    <xf numFmtId="3" fontId="16" fillId="0" borderId="17" xfId="0" applyNumberFormat="1" applyFont="1" applyFill="1" applyBorder="1" applyAlignment="1">
      <alignment vertical="center"/>
    </xf>
    <xf numFmtId="3" fontId="19" fillId="0" borderId="14" xfId="0" applyNumberFormat="1" applyFont="1" applyFill="1" applyBorder="1" applyAlignment="1">
      <alignment horizontal="right" vertical="center" wrapText="1"/>
    </xf>
    <xf numFmtId="3" fontId="19" fillId="0" borderId="14" xfId="0" applyNumberFormat="1" applyFont="1" applyBorder="1" applyAlignment="1">
      <alignment vertical="center"/>
    </xf>
    <xf numFmtId="3" fontId="51" fillId="0" borderId="14" xfId="0" applyNumberFormat="1" applyFont="1" applyFill="1" applyBorder="1" applyAlignment="1">
      <alignment horizontal="right" vertical="center" wrapText="1"/>
    </xf>
    <xf numFmtId="3" fontId="51" fillId="0" borderId="14" xfId="0" applyNumberFormat="1" applyFont="1" applyBorder="1" applyAlignment="1">
      <alignment vertical="center"/>
    </xf>
    <xf numFmtId="3" fontId="19" fillId="0" borderId="14" xfId="0" applyNumberFormat="1" applyFont="1" applyFill="1" applyBorder="1" applyAlignment="1">
      <alignment vertical="center"/>
    </xf>
    <xf numFmtId="3" fontId="30" fillId="0" borderId="14" xfId="0" applyNumberFormat="1" applyFont="1" applyFill="1" applyBorder="1" applyAlignment="1">
      <alignment horizontal="right" vertical="center" wrapText="1"/>
    </xf>
    <xf numFmtId="3" fontId="19" fillId="0" borderId="17" xfId="0" applyNumberFormat="1" applyFont="1" applyBorder="1" applyAlignment="1">
      <alignment vertical="center"/>
    </xf>
    <xf numFmtId="0" fontId="10" fillId="3" borderId="24" xfId="0" applyFont="1" applyFill="1" applyBorder="1" applyAlignment="1">
      <alignment wrapText="1"/>
    </xf>
  </cellXfs>
  <cellStyles count="185">
    <cellStyle name="Hiperłącze" xfId="15" builtinId="8"/>
    <cellStyle name="Normalny" xfId="0" builtinId="0"/>
    <cellStyle name="Normalny 10" xfId="31"/>
    <cellStyle name="Normalny 105" xfId="8"/>
    <cellStyle name="Normalny 197" xfId="11"/>
    <cellStyle name="Normalny 2" xfId="2"/>
    <cellStyle name="Normalny 2 10" xfId="30"/>
    <cellStyle name="Normalny 2 10 2" xfId="47"/>
    <cellStyle name="Normalny 2 10 2 2" xfId="126"/>
    <cellStyle name="Normalny 2 10 2 3" xfId="108"/>
    <cellStyle name="Normalny 2 10 3" xfId="62"/>
    <cellStyle name="Normalny 2 10 3 2" xfId="127"/>
    <cellStyle name="Normalny 2 10 3 3" xfId="123"/>
    <cellStyle name="Normalny 2 10 4" xfId="93"/>
    <cellStyle name="Normalny 2 10 4 2" xfId="128"/>
    <cellStyle name="Normalny 2 10 5" xfId="124"/>
    <cellStyle name="Normalny 2 10 6" xfId="184"/>
    <cellStyle name="Normalny 2 10 7" xfId="77"/>
    <cellStyle name="Normalny 2 11" xfId="33"/>
    <cellStyle name="Normalny 2 11 2" xfId="129"/>
    <cellStyle name="Normalny 2 11 3" xfId="94"/>
    <cellStyle name="Normalny 2 12" xfId="48"/>
    <cellStyle name="Normalny 2 12 2" xfId="130"/>
    <cellStyle name="Normalny 2 12 3" xfId="109"/>
    <cellStyle name="Normalny 2 13" xfId="79"/>
    <cellStyle name="Normalny 2 13 2" xfId="131"/>
    <cellStyle name="Normalny 2 14" xfId="125"/>
    <cellStyle name="Normalny 2 15" xfId="63"/>
    <cellStyle name="Normalny 2 2" xfId="5"/>
    <cellStyle name="Normalny 2 2 2 4" xfId="13"/>
    <cellStyle name="Normalny 2 2 27" xfId="9"/>
    <cellStyle name="Normalny 2 2_20.Zob wobec klientow" xfId="7"/>
    <cellStyle name="Normalny 2 2_20.Zob wobec klientow 2" xfId="10"/>
    <cellStyle name="Normalny 2 3" xfId="16"/>
    <cellStyle name="Normalny 2 3 2" xfId="36"/>
    <cellStyle name="Normalny 2 3 2 2" xfId="133"/>
    <cellStyle name="Normalny 2 3 2 3" xfId="97"/>
    <cellStyle name="Normalny 2 3 3" xfId="51"/>
    <cellStyle name="Normalny 2 3 3 2" xfId="134"/>
    <cellStyle name="Normalny 2 3 3 3" xfId="112"/>
    <cellStyle name="Normalny 2 3 4" xfId="82"/>
    <cellStyle name="Normalny 2 3 4 2" xfId="135"/>
    <cellStyle name="Normalny 2 3 5" xfId="132"/>
    <cellStyle name="Normalny 2 3 6" xfId="66"/>
    <cellStyle name="Normalny 2 4" xfId="17"/>
    <cellStyle name="Normalny 2 4 2" xfId="37"/>
    <cellStyle name="Normalny 2 4 2 2" xfId="137"/>
    <cellStyle name="Normalny 2 4 2 3" xfId="98"/>
    <cellStyle name="Normalny 2 4 3" xfId="52"/>
    <cellStyle name="Normalny 2 4 3 2" xfId="138"/>
    <cellStyle name="Normalny 2 4 3 3" xfId="113"/>
    <cellStyle name="Normalny 2 4 4" xfId="83"/>
    <cellStyle name="Normalny 2 4 4 2" xfId="139"/>
    <cellStyle name="Normalny 2 4 5" xfId="136"/>
    <cellStyle name="Normalny 2 4 6" xfId="67"/>
    <cellStyle name="Normalny 2 5" xfId="20"/>
    <cellStyle name="Normalny 2 5 2" xfId="40"/>
    <cellStyle name="Normalny 2 5 2 2" xfId="141"/>
    <cellStyle name="Normalny 2 5 2 3" xfId="101"/>
    <cellStyle name="Normalny 2 5 3" xfId="55"/>
    <cellStyle name="Normalny 2 5 3 2" xfId="142"/>
    <cellStyle name="Normalny 2 5 3 3" xfId="116"/>
    <cellStyle name="Normalny 2 5 4" xfId="86"/>
    <cellStyle name="Normalny 2 5 4 2" xfId="143"/>
    <cellStyle name="Normalny 2 5 5" xfId="140"/>
    <cellStyle name="Normalny 2 5 6" xfId="70"/>
    <cellStyle name="Normalny 2 6" xfId="21"/>
    <cellStyle name="Normalny 2 6 2" xfId="41"/>
    <cellStyle name="Normalny 2 6 2 2" xfId="145"/>
    <cellStyle name="Normalny 2 6 2 3" xfId="102"/>
    <cellStyle name="Normalny 2 6 3" xfId="56"/>
    <cellStyle name="Normalny 2 6 3 2" xfId="146"/>
    <cellStyle name="Normalny 2 6 3 3" xfId="117"/>
    <cellStyle name="Normalny 2 6 4" xfId="87"/>
    <cellStyle name="Normalny 2 6 4 2" xfId="147"/>
    <cellStyle name="Normalny 2 6 5" xfId="144"/>
    <cellStyle name="Normalny 2 6 6" xfId="71"/>
    <cellStyle name="Normalny 2 7" xfId="22"/>
    <cellStyle name="Normalny 2 7 2" xfId="42"/>
    <cellStyle name="Normalny 2 7 2 2" xfId="149"/>
    <cellStyle name="Normalny 2 7 2 3" xfId="103"/>
    <cellStyle name="Normalny 2 7 3" xfId="57"/>
    <cellStyle name="Normalny 2 7 3 2" xfId="150"/>
    <cellStyle name="Normalny 2 7 3 3" xfId="118"/>
    <cellStyle name="Normalny 2 7 4" xfId="88"/>
    <cellStyle name="Normalny 2 7 4 2" xfId="151"/>
    <cellStyle name="Normalny 2 7 5" xfId="148"/>
    <cellStyle name="Normalny 2 7 6" xfId="72"/>
    <cellStyle name="Normalny 2 8" xfId="29"/>
    <cellStyle name="Normalny 2 8 2" xfId="46"/>
    <cellStyle name="Normalny 2 8 2 2" xfId="153"/>
    <cellStyle name="Normalny 2 8 2 3" xfId="107"/>
    <cellStyle name="Normalny 2 8 3" xfId="61"/>
    <cellStyle name="Normalny 2 8 3 2" xfId="154"/>
    <cellStyle name="Normalny 2 8 3 3" xfId="122"/>
    <cellStyle name="Normalny 2 8 4" xfId="92"/>
    <cellStyle name="Normalny 2 8 4 2" xfId="155"/>
    <cellStyle name="Normalny 2 8 5" xfId="152"/>
    <cellStyle name="Normalny 2 8 6" xfId="76"/>
    <cellStyle name="Normalny 2 9" xfId="27"/>
    <cellStyle name="Normalny 2 9 2" xfId="44"/>
    <cellStyle name="Normalny 2 9 2 2" xfId="157"/>
    <cellStyle name="Normalny 2 9 2 3" xfId="105"/>
    <cellStyle name="Normalny 2 9 3" xfId="59"/>
    <cellStyle name="Normalny 2 9 3 2" xfId="158"/>
    <cellStyle name="Normalny 2 9 3 3" xfId="120"/>
    <cellStyle name="Normalny 2 9 4" xfId="90"/>
    <cellStyle name="Normalny 2 9 4 2" xfId="159"/>
    <cellStyle name="Normalny 2 9 5" xfId="156"/>
    <cellStyle name="Normalny 2 9 6" xfId="74"/>
    <cellStyle name="Normalny 3" xfId="3"/>
    <cellStyle name="Normalny 4" xfId="4"/>
    <cellStyle name="Normalny 5" xfId="12"/>
    <cellStyle name="Normalny 6" xfId="14"/>
    <cellStyle name="Normalny 6 2" xfId="19"/>
    <cellStyle name="Normalny 6 2 2" xfId="39"/>
    <cellStyle name="Normalny 6 2 2 2" xfId="162"/>
    <cellStyle name="Normalny 6 2 2 3" xfId="100"/>
    <cellStyle name="Normalny 6 2 3" xfId="54"/>
    <cellStyle name="Normalny 6 2 3 2" xfId="163"/>
    <cellStyle name="Normalny 6 2 3 3" xfId="115"/>
    <cellStyle name="Normalny 6 2 4" xfId="85"/>
    <cellStyle name="Normalny 6 2 4 2" xfId="164"/>
    <cellStyle name="Normalny 6 2 5" xfId="161"/>
    <cellStyle name="Normalny 6 2 6" xfId="69"/>
    <cellStyle name="Normalny 6 3" xfId="28"/>
    <cellStyle name="Normalny 6 3 2" xfId="45"/>
    <cellStyle name="Normalny 6 3 2 2" xfId="166"/>
    <cellStyle name="Normalny 6 3 2 3" xfId="106"/>
    <cellStyle name="Normalny 6 3 3" xfId="60"/>
    <cellStyle name="Normalny 6 3 3 2" xfId="167"/>
    <cellStyle name="Normalny 6 3 3 3" xfId="121"/>
    <cellStyle name="Normalny 6 3 4" xfId="91"/>
    <cellStyle name="Normalny 6 3 4 2" xfId="168"/>
    <cellStyle name="Normalny 6 3 5" xfId="165"/>
    <cellStyle name="Normalny 6 3 6" xfId="75"/>
    <cellStyle name="Normalny 6 4" xfId="35"/>
    <cellStyle name="Normalny 6 4 2" xfId="169"/>
    <cellStyle name="Normalny 6 4 3" xfId="96"/>
    <cellStyle name="Normalny 6 5" xfId="50"/>
    <cellStyle name="Normalny 6 5 2" xfId="170"/>
    <cellStyle name="Normalny 6 5 3" xfId="111"/>
    <cellStyle name="Normalny 6 6" xfId="81"/>
    <cellStyle name="Normalny 6 6 2" xfId="171"/>
    <cellStyle name="Normalny 6 7" xfId="160"/>
    <cellStyle name="Normalny 6 8" xfId="65"/>
    <cellStyle name="Normalny 7" xfId="24"/>
    <cellStyle name="Normalny 8" xfId="26"/>
    <cellStyle name="Normalny 9" xfId="23"/>
    <cellStyle name="Procentowy" xfId="1" builtinId="5"/>
    <cellStyle name="Procentowy 2" xfId="6"/>
    <cellStyle name="Procentowy 2 2" xfId="18"/>
    <cellStyle name="Procentowy 2 2 2" xfId="38"/>
    <cellStyle name="Procentowy 2 2 2 2" xfId="174"/>
    <cellStyle name="Procentowy 2 2 2 3" xfId="99"/>
    <cellStyle name="Procentowy 2 2 3" xfId="53"/>
    <cellStyle name="Procentowy 2 2 3 2" xfId="175"/>
    <cellStyle name="Procentowy 2 2 3 3" xfId="114"/>
    <cellStyle name="Procentowy 2 2 4" xfId="84"/>
    <cellStyle name="Procentowy 2 2 4 2" xfId="176"/>
    <cellStyle name="Procentowy 2 2 5" xfId="173"/>
    <cellStyle name="Procentowy 2 2 6" xfId="68"/>
    <cellStyle name="Procentowy 2 3" xfId="25"/>
    <cellStyle name="Procentowy 2 3 2" xfId="43"/>
    <cellStyle name="Procentowy 2 3 2 2" xfId="178"/>
    <cellStyle name="Procentowy 2 3 2 3" xfId="104"/>
    <cellStyle name="Procentowy 2 3 3" xfId="58"/>
    <cellStyle name="Procentowy 2 3 3 2" xfId="179"/>
    <cellStyle name="Procentowy 2 3 3 3" xfId="119"/>
    <cellStyle name="Procentowy 2 3 4" xfId="89"/>
    <cellStyle name="Procentowy 2 3 4 2" xfId="180"/>
    <cellStyle name="Procentowy 2 3 5" xfId="177"/>
    <cellStyle name="Procentowy 2 3 6" xfId="73"/>
    <cellStyle name="Procentowy 2 4" xfId="34"/>
    <cellStyle name="Procentowy 2 4 2" xfId="181"/>
    <cellStyle name="Procentowy 2 4 3" xfId="95"/>
    <cellStyle name="Procentowy 2 5" xfId="49"/>
    <cellStyle name="Procentowy 2 5 2" xfId="182"/>
    <cellStyle name="Procentowy 2 5 3" xfId="110"/>
    <cellStyle name="Procentowy 2 6" xfId="80"/>
    <cellStyle name="Procentowy 2 6 2" xfId="183"/>
    <cellStyle name="Procentowy 2 7" xfId="172"/>
    <cellStyle name="Procentowy 2 8" xfId="64"/>
    <cellStyle name="Procentowy 3" xfId="32"/>
    <cellStyle name="Procentowy 4" xfId="78"/>
  </cellStyles>
  <dxfs count="0"/>
  <tableStyles count="0" defaultTableStyle="TableStyleMedium2" defaultPivotStyle="PivotStyleLight16"/>
  <colors>
    <mruColors>
      <color rgb="FFE4202C"/>
      <color rgb="FF8A8A8A"/>
      <color rgb="FFB7B7B7"/>
      <color rgb="FFFF9933"/>
      <color rgb="FFF2DBDB"/>
      <color rgb="FF50AAFA"/>
      <color rgb="FF000000"/>
      <color rgb="FF00468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1</xdr:col>
      <xdr:colOff>1314450</xdr:colOff>
      <xdr:row>3</xdr:row>
      <xdr:rowOff>57150</xdr:rowOff>
    </xdr:to>
    <xdr:pic>
      <xdr:nvPicPr>
        <xdr:cNvPr id="2"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33350"/>
          <a:ext cx="1295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mocnicze/mBank_financial%20spread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zentacje_wynikow_PKOBP/3Q%202018/Slajdy%20prezentacja%203Q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Key data"/>
      <sheetName val="P&amp;L"/>
      <sheetName val="BS"/>
      <sheetName val="NII"/>
      <sheetName val="NCI"/>
      <sheetName val="Dividend Income"/>
      <sheetName val="Trading Income"/>
      <sheetName val="Investment Income"/>
      <sheetName val="Other Op Income"/>
      <sheetName val="Other Op Expenses"/>
      <sheetName val="Costs"/>
      <sheetName val="Staff Cost"/>
      <sheetName val="LLP"/>
      <sheetName val="Loans"/>
      <sheetName val="Loans quality"/>
      <sheetName val="Deposits"/>
      <sheetName val="Trading sec"/>
      <sheetName val="Investment sec"/>
      <sheetName val="Share Capital"/>
      <sheetName val="off-BS"/>
      <sheetName val="Subsidiaries"/>
      <sheetName val="Total capital ratio"/>
      <sheetName val="CAR"/>
      <sheetName val="RB"/>
      <sheetName val="C&amp;I B"/>
      <sheetName val="FM"/>
      <sheetName val="Others"/>
      <sheetName val="AM"/>
      <sheetName val="Currency structure"/>
      <sheetName val="Retail Banking"/>
      <sheetName val="Corpo &amp; Invest Banking"/>
      <sheetName val="Subsidiaries_data"/>
      <sheetName val="RB - historical data"/>
      <sheetName val="POLE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I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dodatkowe Bank"/>
      <sheetName val="RZiS Bank"/>
      <sheetName val="Bilans Bank"/>
      <sheetName val="RZiS GK"/>
      <sheetName val="Bilans GK"/>
      <sheetName val="Segmenty GK"/>
      <sheetName val="Spółki"/>
      <sheetName val="Udziały rynkowe"/>
      <sheetName val="Udziały rynkowe_wykres"/>
      <sheetName val="Podsumowanie_nowe"/>
      <sheetName val="Podsumowanie"/>
      <sheetName val="Podsumowanie_2"/>
      <sheetName val="struktura RZiS"/>
      <sheetName val="Struktura RZiS EN"/>
      <sheetName val="WNB"/>
      <sheetName val="Aktywa"/>
      <sheetName val="Zysk GK"/>
      <sheetName val="Wynik odsetkowy"/>
      <sheetName val="Wynik_odsetkowy_wykres"/>
      <sheetName val="Marża odsetkowa GK"/>
      <sheetName val="Wynik pozaodsetkowy"/>
      <sheetName val="Wynik pozaodst._wykresy"/>
      <sheetName val="Wynik z odpisów"/>
      <sheetName val="Odpisy_wykresy"/>
      <sheetName val="Koszty GK"/>
      <sheetName val="Koszty_wykresy"/>
      <sheetName val="Struktura bilansu GK"/>
      <sheetName val="Struktura bilansu EN"/>
      <sheetName val="Wolumeny GK"/>
      <sheetName val="Inne Grupa"/>
      <sheetName val="Źródła finansowania"/>
      <sheetName val="Papiery wartościowe"/>
      <sheetName val="Papiery wartościowe EN"/>
      <sheetName val="CAR"/>
      <sheetName val="Basel III"/>
      <sheetName val="Wolumeny"/>
      <sheetName val="Wolumeny_daneDPL"/>
      <sheetName val="Inne Bank "/>
      <sheetName val="Finansowanie i oszczędności"/>
      <sheetName val="Detal"/>
      <sheetName val="Detal_NS"/>
      <sheetName val="Detal_Wol_DPL"/>
      <sheetName val="Detal_Wol"/>
      <sheetName val="Detal EN"/>
      <sheetName val="Wykres1"/>
      <sheetName val="Hipoteczne"/>
      <sheetName val="Hipoteczne EN"/>
      <sheetName val="Korporacja"/>
      <sheetName val="Korporacja_DPL"/>
      <sheetName val="Należności"/>
      <sheetName val="Korporacja_NS"/>
      <sheetName val="Ukraina segment"/>
      <sheetName val="Ukraina"/>
      <sheetName val="Ukraina EN"/>
      <sheetName val="Wyniki spółek GK"/>
      <sheetName val="Dane operacyjne"/>
      <sheetName val="Tabele finansowe GK"/>
      <sheetName val="Tabele finansowe GK kwart."/>
      <sheetName val="Tabele finansowe Bank"/>
      <sheetName val="Tabele finansowe Bank kwart."/>
      <sheetName val="Tabele finansowe GK kwart_2"/>
      <sheetName val="Akcjonariat"/>
      <sheetName val="Conference I"/>
      <sheetName val="Conference II"/>
      <sheetName val="od IPO"/>
      <sheetName val="Arkusz2"/>
    </sheetNames>
    <sheetDataSet>
      <sheetData sheetId="0">
        <row r="71">
          <cell r="AV71">
            <v>7267.0460000000003</v>
          </cell>
          <cell r="AW71">
            <v>7362.2550000000001</v>
          </cell>
        </row>
        <row r="74">
          <cell r="AV74">
            <v>8651.16</v>
          </cell>
          <cell r="AW74">
            <v>8771.1080000000002</v>
          </cell>
        </row>
        <row r="75">
          <cell r="AV75">
            <v>902.48900000000003</v>
          </cell>
          <cell r="AW75">
            <v>919.32399999999996</v>
          </cell>
        </row>
        <row r="78">
          <cell r="AA78">
            <v>11296</v>
          </cell>
          <cell r="AB78">
            <v>38823</v>
          </cell>
          <cell r="AI78">
            <v>270066</v>
          </cell>
          <cell r="AJ78">
            <v>307609</v>
          </cell>
          <cell r="AK78">
            <v>353857</v>
          </cell>
          <cell r="AL78">
            <v>430577</v>
          </cell>
          <cell r="AM78">
            <v>554146</v>
          </cell>
          <cell r="AN78">
            <v>622962</v>
          </cell>
          <cell r="AO78">
            <v>817854</v>
          </cell>
          <cell r="AP78">
            <v>1044735</v>
          </cell>
        </row>
        <row r="88">
          <cell r="AV88">
            <v>41</v>
          </cell>
          <cell r="AW88">
            <v>42</v>
          </cell>
        </row>
        <row r="92">
          <cell r="AV92">
            <v>3185</v>
          </cell>
          <cell r="AW92">
            <v>3146</v>
          </cell>
        </row>
        <row r="93">
          <cell r="AV93">
            <v>600</v>
          </cell>
          <cell r="AW93">
            <v>590</v>
          </cell>
        </row>
        <row r="95">
          <cell r="AV95">
            <v>24678.387999999999</v>
          </cell>
          <cell r="AW95">
            <v>24376.418000000001</v>
          </cell>
        </row>
        <row r="97">
          <cell r="AV97">
            <v>28525.275999999998</v>
          </cell>
          <cell r="AW97">
            <v>28153.191000000003</v>
          </cell>
        </row>
      </sheetData>
      <sheetData sheetId="1"/>
      <sheetData sheetId="2"/>
      <sheetData sheetId="3"/>
      <sheetData sheetId="4"/>
      <sheetData sheetId="5">
        <row r="45">
          <cell r="AE45">
            <v>482000</v>
          </cell>
          <cell r="AF45">
            <v>721000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72"/>
  <sheetViews>
    <sheetView zoomScaleNormal="100" workbookViewId="0">
      <selection activeCell="H19" sqref="H19"/>
    </sheetView>
  </sheetViews>
  <sheetFormatPr defaultRowHeight="15.75"/>
  <cols>
    <col min="1" max="1" width="9.85546875" style="284" bestFit="1" customWidth="1"/>
    <col min="2" max="2" width="68.7109375" style="284" bestFit="1" customWidth="1"/>
    <col min="3" max="3" width="56.85546875" style="284" customWidth="1"/>
    <col min="4" max="59" width="9.140625" style="298"/>
    <col min="60" max="16384" width="9.140625" style="284"/>
  </cols>
  <sheetData>
    <row r="1" spans="1:59">
      <c r="A1" s="285"/>
      <c r="B1" s="285"/>
      <c r="C1" s="285"/>
    </row>
    <row r="2" spans="1:59">
      <c r="A2" s="285"/>
      <c r="B2" s="285"/>
      <c r="C2" s="285"/>
    </row>
    <row r="3" spans="1:59">
      <c r="A3" s="285"/>
      <c r="B3" s="285"/>
      <c r="C3" s="285"/>
    </row>
    <row r="4" spans="1:59">
      <c r="A4" s="285"/>
      <c r="B4" s="285"/>
      <c r="C4" s="285"/>
    </row>
    <row r="5" spans="1:59" ht="16.5" thickBot="1">
      <c r="A5" s="285"/>
      <c r="B5" s="285" t="s">
        <v>795</v>
      </c>
      <c r="C5" s="285" t="s">
        <v>799</v>
      </c>
    </row>
    <row r="6" spans="1:59" s="39" customFormat="1" ht="20.100000000000001" customHeight="1">
      <c r="A6" s="1227">
        <v>1</v>
      </c>
      <c r="B6" s="1221" t="s">
        <v>802</v>
      </c>
      <c r="C6" s="1218" t="s">
        <v>803</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row>
    <row r="7" spans="1:59" s="39" customFormat="1" ht="20.100000000000001" customHeight="1">
      <c r="A7" s="1228">
        <v>2</v>
      </c>
      <c r="B7" s="1216" t="s">
        <v>773</v>
      </c>
      <c r="C7" s="1223" t="s">
        <v>774</v>
      </c>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row>
    <row r="8" spans="1:59" s="39" customFormat="1" ht="20.100000000000001" customHeight="1">
      <c r="A8" s="1228">
        <v>3</v>
      </c>
      <c r="B8" s="1216" t="s">
        <v>778</v>
      </c>
      <c r="C8" s="1223" t="s">
        <v>143</v>
      </c>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row>
    <row r="9" spans="1:59" s="39" customFormat="1" ht="20.100000000000001" customHeight="1">
      <c r="A9" s="1228">
        <v>4</v>
      </c>
      <c r="B9" s="1224" t="s">
        <v>390</v>
      </c>
      <c r="C9" s="1225" t="s">
        <v>471</v>
      </c>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row>
    <row r="10" spans="1:59" s="39" customFormat="1" ht="20.100000000000001" customHeight="1">
      <c r="A10" s="1228">
        <v>5</v>
      </c>
      <c r="B10" s="1216" t="s">
        <v>236</v>
      </c>
      <c r="C10" s="1226" t="s">
        <v>155</v>
      </c>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row>
    <row r="11" spans="1:59" s="39" customFormat="1" ht="20.100000000000001" customHeight="1">
      <c r="A11" s="1228">
        <v>6</v>
      </c>
      <c r="B11" s="1216" t="s">
        <v>14</v>
      </c>
      <c r="C11" s="1226" t="s">
        <v>414</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row>
    <row r="12" spans="1:59" s="39" customFormat="1" ht="20.100000000000001" customHeight="1">
      <c r="A12" s="1228">
        <v>7</v>
      </c>
      <c r="B12" s="1216" t="s">
        <v>487</v>
      </c>
      <c r="C12" s="1226" t="s">
        <v>157</v>
      </c>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row>
    <row r="13" spans="1:59" s="39" customFormat="1" ht="20.100000000000001" customHeight="1">
      <c r="A13" s="1228">
        <v>8</v>
      </c>
      <c r="B13" s="1216" t="s">
        <v>44</v>
      </c>
      <c r="C13" s="1226" t="s">
        <v>181</v>
      </c>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row>
    <row r="14" spans="1:59" s="39" customFormat="1" ht="20.100000000000001" customHeight="1">
      <c r="A14" s="1228">
        <v>9</v>
      </c>
      <c r="B14" s="1224" t="s">
        <v>780</v>
      </c>
      <c r="C14" s="1225" t="s">
        <v>782</v>
      </c>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row>
    <row r="15" spans="1:59" s="39" customFormat="1" ht="20.100000000000001" customHeight="1">
      <c r="A15" s="1228" t="s">
        <v>808</v>
      </c>
      <c r="B15" s="1224" t="s">
        <v>781</v>
      </c>
      <c r="C15" s="1225" t="s">
        <v>783</v>
      </c>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row>
    <row r="16" spans="1:59" s="39" customFormat="1" ht="20.100000000000001" customHeight="1">
      <c r="A16" s="1228">
        <v>10</v>
      </c>
      <c r="B16" s="1224" t="s">
        <v>387</v>
      </c>
      <c r="C16" s="1225" t="s">
        <v>388</v>
      </c>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row>
    <row r="17" spans="1:59" s="39" customFormat="1" ht="20.100000000000001" customHeight="1">
      <c r="A17" s="1228" t="s">
        <v>809</v>
      </c>
      <c r="B17" s="1224" t="s">
        <v>389</v>
      </c>
      <c r="C17" s="1225" t="s">
        <v>525</v>
      </c>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row>
    <row r="18" spans="1:59" s="39" customFormat="1" ht="20.100000000000001" customHeight="1">
      <c r="A18" s="1228">
        <v>11</v>
      </c>
      <c r="B18" s="1224" t="s">
        <v>784</v>
      </c>
      <c r="C18" s="1225" t="s">
        <v>787</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row>
    <row r="19" spans="1:59" s="39" customFormat="1" ht="20.100000000000001" customHeight="1">
      <c r="A19" s="1228" t="s">
        <v>807</v>
      </c>
      <c r="B19" s="1224" t="s">
        <v>785</v>
      </c>
      <c r="C19" s="1225" t="s">
        <v>786</v>
      </c>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row>
    <row r="20" spans="1:59" s="39" customFormat="1" ht="20.100000000000001" customHeight="1">
      <c r="A20" s="1228">
        <v>12</v>
      </c>
      <c r="B20" s="1224" t="s">
        <v>768</v>
      </c>
      <c r="C20" s="1225" t="s">
        <v>680</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row>
    <row r="21" spans="1:59" s="39" customFormat="1" ht="20.100000000000001" customHeight="1">
      <c r="A21" s="1228">
        <v>13</v>
      </c>
      <c r="B21" s="1216" t="s">
        <v>775</v>
      </c>
      <c r="C21" s="1223" t="s">
        <v>779</v>
      </c>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row>
    <row r="22" spans="1:59" s="39" customFormat="1" ht="20.100000000000001" customHeight="1">
      <c r="A22" s="1228">
        <v>14</v>
      </c>
      <c r="B22" s="1216" t="s">
        <v>776</v>
      </c>
      <c r="C22" s="1223" t="s">
        <v>777</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row>
    <row r="23" spans="1:59" ht="20.100000000000001" customHeight="1" thickBot="1">
      <c r="A23" s="386"/>
      <c r="B23" s="387"/>
      <c r="C23" s="388"/>
    </row>
    <row r="24" spans="1:59" s="298" customFormat="1">
      <c r="A24" s="299"/>
      <c r="B24" s="300"/>
      <c r="C24" s="301"/>
    </row>
    <row r="25" spans="1:59" s="298" customFormat="1">
      <c r="A25" s="299"/>
      <c r="B25" s="300"/>
      <c r="C25" s="301"/>
    </row>
    <row r="26" spans="1:59" s="298" customFormat="1">
      <c r="A26" s="299"/>
      <c r="B26" s="187"/>
      <c r="C26" s="302"/>
    </row>
    <row r="27" spans="1:59" s="298" customFormat="1">
      <c r="A27" s="299"/>
    </row>
    <row r="28" spans="1:59" s="298" customFormat="1">
      <c r="A28" s="299"/>
    </row>
    <row r="29" spans="1:59" s="298" customFormat="1">
      <c r="A29" s="299"/>
    </row>
    <row r="30" spans="1:59" s="298" customFormat="1"/>
    <row r="31" spans="1:59" s="298" customFormat="1"/>
    <row r="32" spans="1:59" s="298" customFormat="1"/>
    <row r="33" s="298" customFormat="1"/>
    <row r="34" s="298" customFormat="1"/>
    <row r="35" s="298" customFormat="1"/>
    <row r="36" s="298" customFormat="1"/>
    <row r="37" s="298" customFormat="1"/>
    <row r="38" s="298" customFormat="1"/>
    <row r="39" s="298" customFormat="1"/>
    <row r="40" s="298" customFormat="1"/>
    <row r="41" s="298" customFormat="1"/>
    <row r="42" s="298" customFormat="1"/>
    <row r="43" s="298" customFormat="1"/>
    <row r="44" s="298" customFormat="1"/>
    <row r="45" s="298" customFormat="1"/>
    <row r="46" s="298" customFormat="1"/>
    <row r="47" s="298" customFormat="1"/>
    <row r="48" s="298" customFormat="1"/>
    <row r="49" s="298" customFormat="1"/>
    <row r="50" s="298" customFormat="1"/>
    <row r="51" s="298" customFormat="1"/>
    <row r="52" s="298" customFormat="1"/>
    <row r="53" s="298" customFormat="1"/>
    <row r="54" s="298" customFormat="1"/>
    <row r="55" s="298" customFormat="1"/>
    <row r="56" s="298" customFormat="1"/>
    <row r="57" s="298" customFormat="1"/>
    <row r="58" s="298" customFormat="1"/>
    <row r="59" s="298" customFormat="1"/>
    <row r="60" s="298" customFormat="1"/>
    <row r="61" s="298" customFormat="1"/>
    <row r="62" s="298" customFormat="1"/>
    <row r="63" s="298" customFormat="1"/>
    <row r="64" s="298" customFormat="1"/>
    <row r="65" s="298" customFormat="1"/>
    <row r="66" s="298" customFormat="1"/>
    <row r="67" s="298" customFormat="1"/>
    <row r="68" s="298" customFormat="1"/>
    <row r="69" s="298" customFormat="1"/>
    <row r="70" s="298" customFormat="1"/>
    <row r="71" s="298" customFormat="1"/>
    <row r="72" s="298" customFormat="1"/>
    <row r="73" s="298" customFormat="1"/>
    <row r="74" s="298" customFormat="1"/>
    <row r="75" s="298" customFormat="1"/>
    <row r="76" s="298" customFormat="1"/>
    <row r="77" s="298" customFormat="1"/>
    <row r="78" s="298" customFormat="1"/>
    <row r="79" s="298" customFormat="1"/>
    <row r="80" s="298" customFormat="1"/>
    <row r="81" s="298" customFormat="1"/>
    <row r="82" s="298" customFormat="1"/>
    <row r="83" s="298" customFormat="1"/>
    <row r="84" s="298" customFormat="1"/>
    <row r="85" s="298" customFormat="1"/>
    <row r="86" s="298" customFormat="1"/>
    <row r="87" s="298" customFormat="1"/>
    <row r="88" s="298" customFormat="1"/>
    <row r="89" s="298" customFormat="1"/>
    <row r="90" s="298" customFormat="1"/>
    <row r="91" s="298" customFormat="1"/>
    <row r="92" s="298" customFormat="1"/>
    <row r="93" s="298" customFormat="1"/>
    <row r="94" s="298" customFormat="1"/>
    <row r="95" s="298" customFormat="1"/>
    <row r="96" s="298" customFormat="1"/>
    <row r="97" s="298" customFormat="1"/>
    <row r="98" s="298" customFormat="1"/>
    <row r="99" s="298" customFormat="1"/>
    <row r="100" s="298" customFormat="1"/>
    <row r="101" s="298" customFormat="1"/>
    <row r="102" s="298" customFormat="1"/>
    <row r="103" s="298" customFormat="1"/>
    <row r="104" s="298" customFormat="1"/>
    <row r="105" s="298" customFormat="1"/>
    <row r="106" s="298" customFormat="1"/>
    <row r="107" s="298" customFormat="1"/>
    <row r="108" s="298" customFormat="1"/>
    <row r="109" s="298" customFormat="1"/>
    <row r="110" s="298" customFormat="1"/>
    <row r="111" s="298" customFormat="1"/>
    <row r="112" s="298" customFormat="1"/>
    <row r="113" s="298" customFormat="1"/>
    <row r="114" s="298" customFormat="1"/>
    <row r="115" s="298" customFormat="1"/>
    <row r="116" s="298" customFormat="1"/>
    <row r="117" s="298" customFormat="1"/>
    <row r="118" s="298" customFormat="1"/>
    <row r="119" s="298" customFormat="1"/>
    <row r="120" s="298" customFormat="1"/>
    <row r="121" s="298" customFormat="1"/>
    <row r="122" s="298" customFormat="1"/>
    <row r="123" s="298" customFormat="1"/>
    <row r="124" s="298" customFormat="1"/>
    <row r="125" s="298" customFormat="1"/>
    <row r="126" s="298" customFormat="1"/>
    <row r="127" s="298" customFormat="1"/>
    <row r="128" s="298" customFormat="1"/>
    <row r="129" s="298" customFormat="1"/>
    <row r="130" s="298" customFormat="1"/>
    <row r="131" s="298" customFormat="1"/>
    <row r="132" s="298" customFormat="1"/>
    <row r="133" s="298" customFormat="1"/>
    <row r="134" s="298" customFormat="1"/>
    <row r="135" s="298" customFormat="1"/>
    <row r="136" s="298" customFormat="1"/>
    <row r="137" s="298" customFormat="1"/>
    <row r="138" s="298" customFormat="1"/>
    <row r="139" s="298" customFormat="1"/>
    <row r="140" s="298" customFormat="1"/>
    <row r="141" s="298" customFormat="1"/>
    <row r="142" s="298" customFormat="1"/>
    <row r="143" s="298" customFormat="1"/>
    <row r="144" s="298" customFormat="1"/>
    <row r="145" s="298" customFormat="1"/>
    <row r="146" s="298" customFormat="1"/>
    <row r="147" s="298" customFormat="1"/>
    <row r="148" s="298" customFormat="1"/>
    <row r="149" s="298" customFormat="1"/>
    <row r="150" s="298" customFormat="1"/>
    <row r="151" s="298" customFormat="1"/>
    <row r="152" s="298" customFormat="1"/>
    <row r="153" s="298" customFormat="1"/>
    <row r="154" s="298" customFormat="1"/>
    <row r="155" s="298" customFormat="1"/>
    <row r="156" s="298" customFormat="1"/>
    <row r="157" s="298" customFormat="1"/>
    <row r="158" s="298" customFormat="1"/>
    <row r="159" s="298" customFormat="1"/>
    <row r="160" s="298" customFormat="1"/>
    <row r="161" s="298" customFormat="1"/>
    <row r="162" s="298" customFormat="1"/>
    <row r="163" s="298" customFormat="1"/>
    <row r="164" s="298" customFormat="1"/>
    <row r="165" s="298" customFormat="1"/>
    <row r="166" s="298" customFormat="1"/>
    <row r="167" s="298" customFormat="1"/>
    <row r="168" s="298" customFormat="1"/>
    <row r="169" s="298" customFormat="1"/>
    <row r="170" s="298" customFormat="1"/>
    <row r="171" s="298" customFormat="1"/>
    <row r="172" s="298" customFormat="1"/>
    <row r="173" s="298" customFormat="1"/>
    <row r="174" s="298" customFormat="1"/>
    <row r="175" s="298" customFormat="1"/>
    <row r="176" s="298" customFormat="1"/>
    <row r="177" s="298" customFormat="1"/>
    <row r="178" s="298" customFormat="1"/>
    <row r="179" s="298" customFormat="1"/>
    <row r="180" s="298" customFormat="1"/>
    <row r="181" s="298" customFormat="1"/>
    <row r="182" s="298" customFormat="1"/>
    <row r="183" s="298" customFormat="1"/>
    <row r="184" s="298" customFormat="1"/>
    <row r="185" s="298" customFormat="1"/>
    <row r="186" s="298" customFormat="1"/>
    <row r="187" s="298" customFormat="1"/>
    <row r="188" s="298" customFormat="1"/>
    <row r="189" s="298" customFormat="1"/>
    <row r="190" s="298" customFormat="1"/>
    <row r="191" s="298" customFormat="1"/>
    <row r="192" s="298" customFormat="1"/>
    <row r="193" s="298" customFormat="1"/>
    <row r="194" s="298" customFormat="1"/>
    <row r="195" s="298" customFormat="1"/>
    <row r="196" s="298" customFormat="1"/>
    <row r="197" s="298" customFormat="1"/>
    <row r="198" s="298" customFormat="1"/>
    <row r="199" s="298" customFormat="1"/>
    <row r="200" s="298" customFormat="1"/>
    <row r="201" s="298" customFormat="1"/>
    <row r="202" s="298" customFormat="1"/>
    <row r="203" s="298" customFormat="1"/>
    <row r="204" s="298" customFormat="1"/>
    <row r="205" s="298" customFormat="1"/>
    <row r="206" s="298" customFormat="1"/>
    <row r="207" s="298" customFormat="1"/>
    <row r="208" s="298" customFormat="1"/>
    <row r="209" s="298" customFormat="1"/>
    <row r="210" s="298" customFormat="1"/>
    <row r="211" s="298" customFormat="1"/>
    <row r="212" s="298" customFormat="1"/>
    <row r="213" s="298" customFormat="1"/>
    <row r="214" s="298" customFormat="1"/>
    <row r="215" s="298" customFormat="1"/>
    <row r="216" s="298" customFormat="1"/>
    <row r="217" s="298" customFormat="1"/>
    <row r="218" s="298" customFormat="1"/>
    <row r="219" s="298" customFormat="1"/>
    <row r="220" s="298" customFormat="1"/>
    <row r="221" s="298" customFormat="1"/>
    <row r="222" s="298" customFormat="1"/>
    <row r="223" s="298" customFormat="1"/>
    <row r="224" s="298" customFormat="1"/>
    <row r="225" s="298" customFormat="1"/>
    <row r="226" s="298" customFormat="1"/>
    <row r="227" s="298" customFormat="1"/>
    <row r="228" s="298" customFormat="1"/>
    <row r="229" s="298" customFormat="1"/>
    <row r="230" s="298" customFormat="1"/>
    <row r="231" s="298" customFormat="1"/>
    <row r="232" s="298" customFormat="1"/>
    <row r="233" s="298" customFormat="1"/>
    <row r="234" s="298" customFormat="1"/>
    <row r="235" s="298" customFormat="1"/>
    <row r="236" s="298" customFormat="1"/>
    <row r="237" s="298" customFormat="1"/>
    <row r="238" s="298" customFormat="1"/>
    <row r="239" s="298" customFormat="1"/>
    <row r="240" s="298" customFormat="1"/>
    <row r="241" s="298" customFormat="1"/>
    <row r="242" s="298" customFormat="1"/>
    <row r="243" s="298" customFormat="1"/>
    <row r="244" s="298" customFormat="1"/>
    <row r="245" s="298" customFormat="1"/>
    <row r="246" s="298" customFormat="1"/>
    <row r="247" s="298" customFormat="1"/>
    <row r="248" s="298" customFormat="1"/>
    <row r="249" s="298" customFormat="1"/>
    <row r="250" s="298" customFormat="1"/>
    <row r="251" s="298" customFormat="1"/>
    <row r="252" s="298" customFormat="1"/>
    <row r="253" s="298" customFormat="1"/>
    <row r="254" s="298" customFormat="1"/>
    <row r="255" s="298" customFormat="1"/>
    <row r="256" s="298" customFormat="1"/>
    <row r="257" s="298" customFormat="1"/>
    <row r="258" s="298" customFormat="1"/>
    <row r="259" s="298" customFormat="1"/>
    <row r="260" s="298" customFormat="1"/>
    <row r="261" s="298" customFormat="1"/>
    <row r="262" s="298" customFormat="1"/>
    <row r="263" s="298" customFormat="1"/>
    <row r="264" s="298" customFormat="1"/>
    <row r="265" s="298" customFormat="1"/>
    <row r="266" s="298" customFormat="1"/>
    <row r="267" s="298" customFormat="1"/>
    <row r="268" s="298" customFormat="1"/>
    <row r="269" s="298" customFormat="1"/>
    <row r="270" s="298" customFormat="1"/>
    <row r="271" s="298" customFormat="1"/>
    <row r="272" s="298" customFormat="1"/>
    <row r="273" s="298" customFormat="1"/>
    <row r="274" s="298" customFormat="1"/>
    <row r="275" s="298" customFormat="1"/>
    <row r="276" s="298" customFormat="1"/>
    <row r="277" s="298" customFormat="1"/>
    <row r="278" s="298" customFormat="1"/>
    <row r="279" s="298" customFormat="1"/>
    <row r="280" s="298" customFormat="1"/>
    <row r="281" s="298" customFormat="1"/>
    <row r="282" s="298" customFormat="1"/>
    <row r="283" s="298" customFormat="1"/>
    <row r="284" s="298" customFormat="1"/>
    <row r="285" s="298" customFormat="1"/>
    <row r="286" s="298" customFormat="1"/>
    <row r="287" s="298" customFormat="1"/>
    <row r="288" s="298" customFormat="1"/>
    <row r="289" s="298" customFormat="1"/>
    <row r="290" s="298" customFormat="1"/>
    <row r="291" s="298" customFormat="1"/>
    <row r="292" s="298" customFormat="1"/>
    <row r="293" s="298" customFormat="1"/>
    <row r="294" s="298" customFormat="1"/>
    <row r="295" s="298" customFormat="1"/>
    <row r="296" s="298" customFormat="1"/>
    <row r="297" s="298" customFormat="1"/>
    <row r="298" s="298" customFormat="1"/>
    <row r="299" s="298" customFormat="1"/>
    <row r="300" s="298" customFormat="1"/>
    <row r="301" s="298" customFormat="1"/>
    <row r="302" s="298" customFormat="1"/>
    <row r="303" s="298" customFormat="1"/>
    <row r="304" s="298" customFormat="1"/>
    <row r="305" s="298" customFormat="1"/>
    <row r="306" s="298" customFormat="1"/>
    <row r="307" s="298" customFormat="1"/>
    <row r="308" s="298" customFormat="1"/>
    <row r="309" s="298" customFormat="1"/>
    <row r="310" s="298" customFormat="1"/>
    <row r="311" s="298" customFormat="1"/>
    <row r="312" s="298" customFormat="1"/>
    <row r="313" s="298" customFormat="1"/>
    <row r="314" s="298" customFormat="1"/>
    <row r="315" s="298" customFormat="1"/>
    <row r="316" s="298" customFormat="1"/>
    <row r="317" s="298" customFormat="1"/>
    <row r="318" s="298" customFormat="1"/>
    <row r="319" s="298" customFormat="1"/>
    <row r="320" s="298" customFormat="1"/>
    <row r="321" s="298" customFormat="1"/>
    <row r="322" s="298" customFormat="1"/>
    <row r="323" s="298" customFormat="1"/>
    <row r="324" s="298" customFormat="1"/>
    <row r="325" s="298" customFormat="1"/>
    <row r="326" s="298" customFormat="1"/>
    <row r="327" s="298" customFormat="1"/>
    <row r="328" s="298" customFormat="1"/>
    <row r="329" s="298" customFormat="1"/>
    <row r="330" s="298" customFormat="1"/>
    <row r="331" s="298" customFormat="1"/>
    <row r="332" s="298" customFormat="1"/>
    <row r="333" s="298" customFormat="1"/>
    <row r="334" s="298" customFormat="1"/>
    <row r="335" s="298" customFormat="1"/>
    <row r="336" s="298" customFormat="1"/>
    <row r="337" s="298" customFormat="1"/>
    <row r="338" s="298" customFormat="1"/>
    <row r="339" s="298" customFormat="1"/>
    <row r="340" s="298" customFormat="1"/>
    <row r="341" s="298" customFormat="1"/>
    <row r="342" s="298" customFormat="1"/>
    <row r="343" s="298" customFormat="1"/>
    <row r="344" s="298" customFormat="1"/>
    <row r="345" s="298" customFormat="1"/>
    <row r="346" s="298" customFormat="1"/>
    <row r="347" s="298" customFormat="1"/>
    <row r="348" s="298" customFormat="1"/>
    <row r="349" s="298" customFormat="1"/>
    <row r="350" s="298" customFormat="1"/>
    <row r="351" s="298" customFormat="1"/>
    <row r="352" s="298" customFormat="1"/>
    <row r="353" s="298" customFormat="1"/>
    <row r="354" s="298" customFormat="1"/>
    <row r="355" s="298" customFormat="1"/>
    <row r="356" s="298" customFormat="1"/>
    <row r="357" s="298" customFormat="1"/>
    <row r="358" s="298" customFormat="1"/>
    <row r="359" s="298" customFormat="1"/>
    <row r="360" s="298" customFormat="1"/>
    <row r="361" s="298" customFormat="1"/>
    <row r="362" s="298" customFormat="1"/>
    <row r="363" s="298" customFormat="1"/>
    <row r="364" s="298" customFormat="1"/>
    <row r="365" s="298" customFormat="1"/>
    <row r="366" s="298" customFormat="1"/>
    <row r="367" s="298" customFormat="1"/>
    <row r="368" s="298" customFormat="1"/>
    <row r="369" s="298" customFormat="1"/>
    <row r="370" s="298" customFormat="1"/>
    <row r="371" s="298" customFormat="1"/>
    <row r="372" s="298" customFormat="1"/>
  </sheetData>
  <hyperlinks>
    <hyperlink ref="B6" location="'1_Podstawowe dane_Key data'!A1" display="Podstawowe dane "/>
    <hyperlink ref="C6" location="'1_Podstawowe dane_Key data'!Obszar_wydruku" display="Key data"/>
    <hyperlink ref="B7" location="'2_RZiS_P&amp;L'!A1" display="Rachunek zysków i strat"/>
    <hyperlink ref="C7" location="'2_RZiS_P&amp;L'!A1" display="Income statement"/>
    <hyperlink ref="B21" location="'13_RZiS_Detal_P&amp;L_Retail'!Obszar_wydruku" display="Rachunek zysków i strat Bankowości Detalicznej"/>
    <hyperlink ref="C21" location="'13_RZiS_Detal_P&amp;L_Retail'!Obszar_wydruku" display="Income statement of Retail segment"/>
    <hyperlink ref="B22" location="'14_RZiS_C&amp;I_P&amp;L_C&amp;I'!Obszar_wydruku" display="Rachunek zysków i strat Bankowości Korporacyjnej i Inwestycyjnej"/>
    <hyperlink ref="C22" location="'14_RZiS_C&amp;I_P&amp;L_C&amp;I'!Obszar_wydruku" display="Income statement of Corporate and investment segment"/>
    <hyperlink ref="B20" location="'12_Adekwatność_Capital adequacy'!Obszar_wydruku" display="Adekwatność kapitałowa"/>
    <hyperlink ref="C20" location="'12_Adekwatność_Capital adequacy'!Obszar_wydruku" display="Capital adequacy"/>
    <hyperlink ref="B16" location="'10_Jakość portfela_Portf. quali'!A1" display="Jakość portfela kredytowego wg MSSF 9"/>
    <hyperlink ref="C16" location="'10_Jakość portfela_Portf. quali'!A1" display="Quality of loan portfolio under IFRS 9"/>
    <hyperlink ref="B17" location="'10a_Jakość portf._Port qual_OLD'!A1" display="Jakość portfela kredytów i pożyczek wg MSR 39"/>
    <hyperlink ref="C17" location="'10a_Jakość portf._Port qual_OLD'!A1" display="Quality of loan portfolio under MSR 39"/>
    <hyperlink ref="B14" location="'9_Kredyty_Loans'!Obszar_wydruku" display="Kredyty i pożyczki udzielone klientom wg MSSF 9"/>
    <hyperlink ref="C14" location="'9_Kredyty_Loans'!Obszar_wydruku" display="Loans and advances to customers under IFRS 9"/>
    <hyperlink ref="B15" location="'9a_Kredyty Loans_OLD'!Obszar_wydruku" display="Kredyty i pożyczki udzielone klientom wg MSSR 39"/>
    <hyperlink ref="C15" location="'9a_Kredyty Loans_OLD'!Obszar_wydruku" display="Loans and advances to customers under MSR 39"/>
    <hyperlink ref="B10" location="'5_Koszty adm_Adm expenses'!Obszar_wydruku" display="Koszty administracyjne"/>
    <hyperlink ref="C10" location="'5_Koszty adm_Adm expenses'!Obszar_wydruku" display="Administrative expenses"/>
    <hyperlink ref="B11" location="'6_Operacyjne_Operating income'!Obszar_wydruku" display="Pozostałe przychody i koszty operacyjne netto"/>
    <hyperlink ref="C11" location="'6_Operacyjne_Operating income'!Obszar_wydruku" display="Other operating income and expense"/>
    <hyperlink ref="B12" location="'7_Odpisy_Impairments'!Obszar_wydruku" display="Wynik z tytułu odpisów aktualizujacych z tytułu utraty wartosci"/>
    <hyperlink ref="C12" location="'7_Odpisy_Impairments'!Obszar_wydruku" display="Net impairment allowance and write-downs"/>
    <hyperlink ref="B13" location="'8_Bilans_Balance sheet'!Obszar_wydruku" display="Skonsolidowane sprawozdanie z sytuacji finansowej"/>
    <hyperlink ref="C13" location="'8_Bilans_Balance sheet'!Obszar_wydruku" display="Consolidated statement of financial position"/>
    <hyperlink ref="B18" location="'11_Depozyty_Deposits'!Obszar_wydruku" display="Zobowiązania wobec klientów wg MSSF 9"/>
    <hyperlink ref="C18" location="'11_Depozyty_Deposits'!Obszar_wydruku" display="Laibilities due to customers under IFRS 9"/>
    <hyperlink ref="B19" location="'11a_Depozyty Deposits_OLD'!Obszar_wydruku" display="Zobowiązania wobec klientów wg MSR 39"/>
    <hyperlink ref="C19" location="'11a_Depozyty Deposits_OLD'!Obszar_wydruku" display="Laibilities due to customers under MSR 39"/>
    <hyperlink ref="B9" location="'4_Prowizyjny_F&amp;C'!Obszar_wydruku" display="Wynik  z tytułu opłat i prowizji"/>
    <hyperlink ref="C9" location="'4_Prowizyjny_F&amp;C'!Obszar_wydruku" display="Net commission income"/>
    <hyperlink ref="B8" location="'3_Odsetkowy_NII'!A1" display="Wynik odsetkowy"/>
    <hyperlink ref="C8" location="'2_RZiS_P&amp;L'!A1" display="Net interest income"/>
  </hyperlinks>
  <pageMargins left="0.7" right="0.7" top="0.75" bottom="0.75" header="0.3" footer="0.3"/>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G254"/>
  <sheetViews>
    <sheetView view="pageBreakPreview" zoomScaleNormal="100" zoomScaleSheetLayoutView="100" workbookViewId="0">
      <pane xSplit="1" topLeftCell="B1" activePane="topRight" state="frozen"/>
      <selection pane="topRight" activeCell="AS28" sqref="AS28"/>
    </sheetView>
  </sheetViews>
  <sheetFormatPr defaultRowHeight="13.5"/>
  <cols>
    <col min="1" max="1" width="56" style="2" customWidth="1"/>
    <col min="2" max="2" width="53.140625" style="2" customWidth="1"/>
    <col min="3" max="15" width="15.7109375" style="2" hidden="1" customWidth="1"/>
    <col min="16" max="16" width="15.7109375" style="33" hidden="1" customWidth="1"/>
    <col min="17" max="37" width="15.7109375" style="2" hidden="1" customWidth="1"/>
    <col min="38" max="43" width="15.7109375" style="2" customWidth="1"/>
    <col min="44" max="85" width="9.140625" style="146"/>
    <col min="86" max="16384" width="9.140625" style="2"/>
  </cols>
  <sheetData>
    <row r="1" spans="1:85" s="30" customFormat="1" ht="20.100000000000001" customHeight="1">
      <c r="A1" s="213" t="s">
        <v>780</v>
      </c>
      <c r="B1" s="755" t="s">
        <v>860</v>
      </c>
      <c r="C1" s="31"/>
      <c r="D1" s="31"/>
      <c r="E1" s="31"/>
      <c r="F1" s="31"/>
      <c r="G1" s="31"/>
      <c r="H1" s="31"/>
      <c r="I1" s="31"/>
      <c r="J1" s="31"/>
      <c r="K1" s="31"/>
      <c r="L1" s="31"/>
      <c r="M1" s="31"/>
      <c r="N1" s="31"/>
      <c r="O1" s="31"/>
      <c r="P1" s="12"/>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92" t="s">
        <v>800</v>
      </c>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row>
    <row r="2" spans="1:85" ht="18" customHeight="1" thickBot="1">
      <c r="A2" s="406"/>
      <c r="B2" s="406"/>
      <c r="C2" s="519"/>
      <c r="D2" s="519"/>
      <c r="E2" s="519"/>
      <c r="F2" s="519"/>
      <c r="G2" s="519"/>
      <c r="H2" s="519"/>
      <c r="I2" s="519"/>
      <c r="J2" s="519"/>
      <c r="K2" s="519"/>
      <c r="L2" s="519"/>
      <c r="M2" s="519"/>
      <c r="N2" s="519"/>
      <c r="O2" s="519"/>
      <c r="P2" s="5"/>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392" t="s">
        <v>801</v>
      </c>
    </row>
    <row r="3" spans="1:85" s="128" customFormat="1" ht="18" customHeight="1" thickBot="1">
      <c r="A3" s="343" t="s">
        <v>365</v>
      </c>
      <c r="B3" s="305" t="s">
        <v>182</v>
      </c>
      <c r="C3" s="794" t="s">
        <v>304</v>
      </c>
      <c r="D3" s="794" t="s">
        <v>303</v>
      </c>
      <c r="E3" s="794" t="s">
        <v>302</v>
      </c>
      <c r="F3" s="794" t="s">
        <v>301</v>
      </c>
      <c r="G3" s="794" t="s">
        <v>297</v>
      </c>
      <c r="H3" s="794" t="s">
        <v>298</v>
      </c>
      <c r="I3" s="794" t="s">
        <v>299</v>
      </c>
      <c r="J3" s="794" t="s">
        <v>300</v>
      </c>
      <c r="K3" s="794" t="s">
        <v>296</v>
      </c>
      <c r="L3" s="794" t="s">
        <v>295</v>
      </c>
      <c r="M3" s="794" t="s">
        <v>294</v>
      </c>
      <c r="N3" s="794" t="s">
        <v>293</v>
      </c>
      <c r="O3" s="794" t="s">
        <v>292</v>
      </c>
      <c r="P3" s="794" t="s">
        <v>291</v>
      </c>
      <c r="Q3" s="794" t="s">
        <v>290</v>
      </c>
      <c r="R3" s="794" t="s">
        <v>289</v>
      </c>
      <c r="S3" s="794" t="s">
        <v>288</v>
      </c>
      <c r="T3" s="794" t="s">
        <v>287</v>
      </c>
      <c r="U3" s="794" t="s">
        <v>286</v>
      </c>
      <c r="V3" s="794" t="s">
        <v>285</v>
      </c>
      <c r="W3" s="794" t="s">
        <v>281</v>
      </c>
      <c r="X3" s="794" t="s">
        <v>282</v>
      </c>
      <c r="Y3" s="794" t="s">
        <v>283</v>
      </c>
      <c r="Z3" s="794" t="s">
        <v>284</v>
      </c>
      <c r="AA3" s="794" t="s">
        <v>277</v>
      </c>
      <c r="AB3" s="794" t="s">
        <v>278</v>
      </c>
      <c r="AC3" s="794" t="s">
        <v>279</v>
      </c>
      <c r="AD3" s="794" t="s">
        <v>280</v>
      </c>
      <c r="AE3" s="794" t="s">
        <v>274</v>
      </c>
      <c r="AF3" s="794" t="s">
        <v>275</v>
      </c>
      <c r="AG3" s="794" t="s">
        <v>276</v>
      </c>
      <c r="AH3" s="794" t="s">
        <v>256</v>
      </c>
      <c r="AI3" s="794" t="s">
        <v>273</v>
      </c>
      <c r="AJ3" s="794" t="s">
        <v>272</v>
      </c>
      <c r="AK3" s="794" t="s">
        <v>255</v>
      </c>
      <c r="AL3" s="794" t="s">
        <v>271</v>
      </c>
      <c r="AM3" s="794" t="s">
        <v>737</v>
      </c>
      <c r="AN3" s="794" t="s">
        <v>270</v>
      </c>
      <c r="AO3" s="794" t="s">
        <v>269</v>
      </c>
      <c r="AP3" s="794" t="s">
        <v>268</v>
      </c>
      <c r="AQ3" s="795" t="s">
        <v>565</v>
      </c>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row>
    <row r="4" spans="1:85" s="42" customFormat="1" ht="30">
      <c r="A4" s="841" t="s">
        <v>375</v>
      </c>
      <c r="B4" s="842" t="s">
        <v>380</v>
      </c>
      <c r="C4" s="843"/>
      <c r="D4" s="843"/>
      <c r="E4" s="843"/>
      <c r="F4" s="843"/>
      <c r="G4" s="844"/>
      <c r="H4" s="843"/>
      <c r="I4" s="843"/>
      <c r="J4" s="843"/>
      <c r="K4" s="844"/>
      <c r="L4" s="844"/>
      <c r="M4" s="844"/>
      <c r="N4" s="844"/>
      <c r="O4" s="844"/>
      <c r="P4" s="845"/>
      <c r="Q4" s="846"/>
      <c r="R4" s="846"/>
      <c r="S4" s="846"/>
      <c r="T4" s="846"/>
      <c r="U4" s="846"/>
      <c r="V4" s="846"/>
      <c r="W4" s="846"/>
      <c r="X4" s="846"/>
      <c r="Y4" s="846"/>
      <c r="Z4" s="846"/>
      <c r="AA4" s="846"/>
      <c r="AB4" s="846"/>
      <c r="AC4" s="846"/>
      <c r="AD4" s="846"/>
      <c r="AE4" s="846"/>
      <c r="AF4" s="846"/>
      <c r="AG4" s="846"/>
      <c r="AH4" s="846"/>
      <c r="AI4" s="846"/>
      <c r="AJ4" s="846"/>
      <c r="AK4" s="846"/>
      <c r="AL4" s="847"/>
      <c r="AM4" s="847"/>
      <c r="AN4" s="847"/>
      <c r="AO4" s="847"/>
      <c r="AP4" s="847"/>
      <c r="AQ4" s="848"/>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row>
    <row r="5" spans="1:85" s="40" customFormat="1" ht="18" customHeight="1">
      <c r="A5" s="800" t="s">
        <v>368</v>
      </c>
      <c r="B5" s="801" t="s">
        <v>379</v>
      </c>
      <c r="C5" s="802"/>
      <c r="D5" s="802"/>
      <c r="E5" s="802"/>
      <c r="F5" s="802"/>
      <c r="G5" s="803"/>
      <c r="H5" s="802"/>
      <c r="I5" s="802"/>
      <c r="J5" s="802"/>
      <c r="K5" s="803"/>
      <c r="L5" s="803"/>
      <c r="M5" s="803"/>
      <c r="N5" s="803"/>
      <c r="O5" s="803"/>
      <c r="P5" s="804"/>
      <c r="Q5" s="805"/>
      <c r="R5" s="805"/>
      <c r="S5" s="805"/>
      <c r="T5" s="805"/>
      <c r="U5" s="805"/>
      <c r="V5" s="805"/>
      <c r="W5" s="805"/>
      <c r="X5" s="805"/>
      <c r="Y5" s="805"/>
      <c r="Z5" s="805"/>
      <c r="AA5" s="805"/>
      <c r="AB5" s="805"/>
      <c r="AC5" s="805"/>
      <c r="AD5" s="805"/>
      <c r="AE5" s="805"/>
      <c r="AF5" s="805"/>
      <c r="AG5" s="805"/>
      <c r="AH5" s="805"/>
      <c r="AI5" s="805"/>
      <c r="AJ5" s="805"/>
      <c r="AK5" s="805"/>
      <c r="AL5" s="806">
        <f>SUM(AL7:AL12)</f>
        <v>205629</v>
      </c>
      <c r="AM5" s="806">
        <f>SUM(AM7:AM12)</f>
        <v>199393</v>
      </c>
      <c r="AN5" s="806">
        <f t="shared" ref="AN5:AQ5" si="0">SUM(AN7:AN12)</f>
        <v>201756</v>
      </c>
      <c r="AO5" s="806">
        <f t="shared" si="0"/>
        <v>206605</v>
      </c>
      <c r="AP5" s="806">
        <f t="shared" si="0"/>
        <v>210699</v>
      </c>
      <c r="AQ5" s="807">
        <f t="shared" si="0"/>
        <v>213805</v>
      </c>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row>
    <row r="6" spans="1:85" s="32" customFormat="1" ht="18" customHeight="1">
      <c r="A6" s="808" t="s">
        <v>745</v>
      </c>
      <c r="B6" s="809" t="s">
        <v>746</v>
      </c>
      <c r="C6" s="810"/>
      <c r="D6" s="810"/>
      <c r="E6" s="810"/>
      <c r="F6" s="810"/>
      <c r="G6" s="718"/>
      <c r="H6" s="810"/>
      <c r="I6" s="810"/>
      <c r="J6" s="810"/>
      <c r="K6" s="718"/>
      <c r="L6" s="718"/>
      <c r="M6" s="718"/>
      <c r="N6" s="718"/>
      <c r="O6" s="718"/>
      <c r="P6" s="811"/>
      <c r="Q6" s="812"/>
      <c r="R6" s="812"/>
      <c r="S6" s="812"/>
      <c r="T6" s="812"/>
      <c r="U6" s="812"/>
      <c r="V6" s="812"/>
      <c r="W6" s="812"/>
      <c r="X6" s="812"/>
      <c r="Y6" s="812"/>
      <c r="Z6" s="812"/>
      <c r="AA6" s="812"/>
      <c r="AB6" s="812"/>
      <c r="AC6" s="812"/>
      <c r="AD6" s="812"/>
      <c r="AE6" s="812"/>
      <c r="AF6" s="812"/>
      <c r="AG6" s="812"/>
      <c r="AH6" s="812"/>
      <c r="AI6" s="812"/>
      <c r="AJ6" s="812"/>
      <c r="AK6" s="812"/>
      <c r="AL6" s="813">
        <f>AL7+AL8+AL9</f>
        <v>187573</v>
      </c>
      <c r="AM6" s="813">
        <f t="shared" ref="AM6:AQ6" si="1">AM7+AM8+AM9</f>
        <v>185746</v>
      </c>
      <c r="AN6" s="813">
        <f t="shared" si="1"/>
        <v>188654</v>
      </c>
      <c r="AO6" s="813">
        <f t="shared" si="1"/>
        <v>192250</v>
      </c>
      <c r="AP6" s="813">
        <f t="shared" si="1"/>
        <v>196559</v>
      </c>
      <c r="AQ6" s="814">
        <f t="shared" si="1"/>
        <v>199257</v>
      </c>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row>
    <row r="7" spans="1:85" s="41" customFormat="1" ht="18" customHeight="1">
      <c r="A7" s="815" t="s">
        <v>370</v>
      </c>
      <c r="B7" s="816" t="s">
        <v>381</v>
      </c>
      <c r="C7" s="817"/>
      <c r="D7" s="817"/>
      <c r="E7" s="817"/>
      <c r="F7" s="817"/>
      <c r="G7" s="668"/>
      <c r="H7" s="817"/>
      <c r="I7" s="817"/>
      <c r="J7" s="817"/>
      <c r="K7" s="668"/>
      <c r="L7" s="668"/>
      <c r="M7" s="668"/>
      <c r="N7" s="668"/>
      <c r="O7" s="668"/>
      <c r="P7" s="811"/>
      <c r="Q7" s="818"/>
      <c r="R7" s="818"/>
      <c r="S7" s="818"/>
      <c r="T7" s="818"/>
      <c r="U7" s="818"/>
      <c r="V7" s="818"/>
      <c r="W7" s="818"/>
      <c r="X7" s="818"/>
      <c r="Y7" s="818"/>
      <c r="Z7" s="818"/>
      <c r="AA7" s="818"/>
      <c r="AB7" s="818"/>
      <c r="AC7" s="818"/>
      <c r="AD7" s="818"/>
      <c r="AE7" s="818"/>
      <c r="AF7" s="818"/>
      <c r="AG7" s="818"/>
      <c r="AH7" s="818"/>
      <c r="AI7" s="818"/>
      <c r="AJ7" s="818"/>
      <c r="AK7" s="818"/>
      <c r="AL7" s="813">
        <v>106191</v>
      </c>
      <c r="AM7" s="813">
        <v>105807</v>
      </c>
      <c r="AN7" s="813">
        <v>106653</v>
      </c>
      <c r="AO7" s="813">
        <v>109334</v>
      </c>
      <c r="AP7" s="813">
        <v>110997</v>
      </c>
      <c r="AQ7" s="814">
        <v>112769</v>
      </c>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row>
    <row r="8" spans="1:85" s="41" customFormat="1" ht="18" customHeight="1">
      <c r="A8" s="815" t="s">
        <v>371</v>
      </c>
      <c r="B8" s="816" t="s">
        <v>343</v>
      </c>
      <c r="C8" s="817"/>
      <c r="D8" s="817"/>
      <c r="E8" s="817"/>
      <c r="F8" s="817"/>
      <c r="G8" s="668"/>
      <c r="H8" s="817"/>
      <c r="I8" s="817"/>
      <c r="J8" s="817"/>
      <c r="K8" s="668"/>
      <c r="L8" s="668"/>
      <c r="M8" s="668"/>
      <c r="N8" s="668"/>
      <c r="O8" s="668"/>
      <c r="P8" s="811"/>
      <c r="Q8" s="818"/>
      <c r="R8" s="818"/>
      <c r="S8" s="818"/>
      <c r="T8" s="818"/>
      <c r="U8" s="818"/>
      <c r="V8" s="818"/>
      <c r="W8" s="818"/>
      <c r="X8" s="818"/>
      <c r="Y8" s="818"/>
      <c r="Z8" s="818"/>
      <c r="AA8" s="818"/>
      <c r="AB8" s="818"/>
      <c r="AC8" s="818"/>
      <c r="AD8" s="818"/>
      <c r="AE8" s="818"/>
      <c r="AF8" s="818"/>
      <c r="AG8" s="818"/>
      <c r="AH8" s="818"/>
      <c r="AI8" s="818"/>
      <c r="AJ8" s="818"/>
      <c r="AK8" s="818"/>
      <c r="AL8" s="813">
        <v>56792</v>
      </c>
      <c r="AM8" s="813">
        <v>56341</v>
      </c>
      <c r="AN8" s="813">
        <v>58118</v>
      </c>
      <c r="AO8" s="813">
        <v>58090</v>
      </c>
      <c r="AP8" s="813">
        <v>60016</v>
      </c>
      <c r="AQ8" s="814">
        <v>60918</v>
      </c>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row>
    <row r="9" spans="1:85" s="41" customFormat="1" ht="18" customHeight="1">
      <c r="A9" s="815" t="s">
        <v>372</v>
      </c>
      <c r="B9" s="816" t="s">
        <v>382</v>
      </c>
      <c r="C9" s="817"/>
      <c r="D9" s="817"/>
      <c r="E9" s="817"/>
      <c r="F9" s="817"/>
      <c r="G9" s="668"/>
      <c r="H9" s="817"/>
      <c r="I9" s="817"/>
      <c r="J9" s="817"/>
      <c r="K9" s="668"/>
      <c r="L9" s="668"/>
      <c r="M9" s="668"/>
      <c r="N9" s="668"/>
      <c r="O9" s="668"/>
      <c r="P9" s="811"/>
      <c r="Q9" s="818"/>
      <c r="R9" s="818"/>
      <c r="S9" s="818"/>
      <c r="T9" s="818"/>
      <c r="U9" s="818"/>
      <c r="V9" s="818"/>
      <c r="W9" s="818"/>
      <c r="X9" s="818"/>
      <c r="Y9" s="818"/>
      <c r="Z9" s="818"/>
      <c r="AA9" s="818"/>
      <c r="AB9" s="818"/>
      <c r="AC9" s="818"/>
      <c r="AD9" s="818"/>
      <c r="AE9" s="818"/>
      <c r="AF9" s="818"/>
      <c r="AG9" s="818"/>
      <c r="AH9" s="818"/>
      <c r="AI9" s="818"/>
      <c r="AJ9" s="818"/>
      <c r="AK9" s="818"/>
      <c r="AL9" s="813">
        <v>24590</v>
      </c>
      <c r="AM9" s="813">
        <v>23598</v>
      </c>
      <c r="AN9" s="813">
        <v>23883</v>
      </c>
      <c r="AO9" s="813">
        <v>24826</v>
      </c>
      <c r="AP9" s="813">
        <v>25546</v>
      </c>
      <c r="AQ9" s="814">
        <v>25570</v>
      </c>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row>
    <row r="10" spans="1:85" s="41" customFormat="1" ht="18" customHeight="1">
      <c r="A10" s="819" t="s">
        <v>742</v>
      </c>
      <c r="B10" s="820" t="s">
        <v>385</v>
      </c>
      <c r="C10" s="817"/>
      <c r="D10" s="817"/>
      <c r="E10" s="817"/>
      <c r="F10" s="817"/>
      <c r="G10" s="668"/>
      <c r="H10" s="817"/>
      <c r="I10" s="817"/>
      <c r="J10" s="817"/>
      <c r="K10" s="668"/>
      <c r="L10" s="668"/>
      <c r="M10" s="668"/>
      <c r="N10" s="668"/>
      <c r="O10" s="668"/>
      <c r="P10" s="811"/>
      <c r="Q10" s="818"/>
      <c r="R10" s="818"/>
      <c r="S10" s="818"/>
      <c r="T10" s="818"/>
      <c r="U10" s="818"/>
      <c r="V10" s="818"/>
      <c r="W10" s="818"/>
      <c r="X10" s="818"/>
      <c r="Y10" s="818"/>
      <c r="Z10" s="818"/>
      <c r="AA10" s="818"/>
      <c r="AB10" s="818"/>
      <c r="AC10" s="818"/>
      <c r="AD10" s="818"/>
      <c r="AE10" s="818"/>
      <c r="AF10" s="818"/>
      <c r="AG10" s="818"/>
      <c r="AH10" s="818"/>
      <c r="AI10" s="818"/>
      <c r="AJ10" s="818"/>
      <c r="AK10" s="818"/>
      <c r="AL10" s="821">
        <v>4368</v>
      </c>
      <c r="AM10" s="821"/>
      <c r="AN10" s="821"/>
      <c r="AO10" s="821"/>
      <c r="AP10" s="821"/>
      <c r="AQ10" s="822"/>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row>
    <row r="11" spans="1:85" s="41" customFormat="1" ht="18" customHeight="1">
      <c r="A11" s="819" t="s">
        <v>743</v>
      </c>
      <c r="B11" s="820" t="s">
        <v>383</v>
      </c>
      <c r="C11" s="817"/>
      <c r="D11" s="817"/>
      <c r="E11" s="817"/>
      <c r="F11" s="817"/>
      <c r="G11" s="668"/>
      <c r="H11" s="817"/>
      <c r="I11" s="817"/>
      <c r="J11" s="817"/>
      <c r="K11" s="668"/>
      <c r="L11" s="668"/>
      <c r="M11" s="668"/>
      <c r="N11" s="668"/>
      <c r="O11" s="668"/>
      <c r="P11" s="811"/>
      <c r="Q11" s="818"/>
      <c r="R11" s="818"/>
      <c r="S11" s="818"/>
      <c r="T11" s="818"/>
      <c r="U11" s="818"/>
      <c r="V11" s="818"/>
      <c r="W11" s="818"/>
      <c r="X11" s="818"/>
      <c r="Y11" s="818"/>
      <c r="Z11" s="818"/>
      <c r="AA11" s="818"/>
      <c r="AB11" s="818"/>
      <c r="AC11" s="818"/>
      <c r="AD11" s="818"/>
      <c r="AE11" s="818"/>
      <c r="AF11" s="818"/>
      <c r="AG11" s="818"/>
      <c r="AH11" s="818"/>
      <c r="AI11" s="818"/>
      <c r="AJ11" s="818"/>
      <c r="AK11" s="818"/>
      <c r="AL11" s="813">
        <v>902</v>
      </c>
      <c r="AM11" s="813">
        <v>902</v>
      </c>
      <c r="AN11" s="813">
        <v>26</v>
      </c>
      <c r="AO11" s="813">
        <v>624</v>
      </c>
      <c r="AP11" s="813">
        <v>191</v>
      </c>
      <c r="AQ11" s="814">
        <v>51</v>
      </c>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row>
    <row r="12" spans="1:85" s="41" customFormat="1" ht="18" customHeight="1">
      <c r="A12" s="823" t="s">
        <v>744</v>
      </c>
      <c r="B12" s="820" t="s">
        <v>386</v>
      </c>
      <c r="C12" s="817"/>
      <c r="D12" s="817"/>
      <c r="E12" s="817"/>
      <c r="F12" s="817"/>
      <c r="G12" s="668"/>
      <c r="H12" s="817"/>
      <c r="I12" s="817"/>
      <c r="J12" s="817"/>
      <c r="K12" s="668"/>
      <c r="L12" s="668"/>
      <c r="M12" s="668"/>
      <c r="N12" s="668"/>
      <c r="O12" s="668"/>
      <c r="P12" s="811"/>
      <c r="Q12" s="818"/>
      <c r="R12" s="818"/>
      <c r="S12" s="818"/>
      <c r="T12" s="818"/>
      <c r="U12" s="818"/>
      <c r="V12" s="818"/>
      <c r="W12" s="818"/>
      <c r="X12" s="818"/>
      <c r="Y12" s="818"/>
      <c r="Z12" s="818"/>
      <c r="AA12" s="818"/>
      <c r="AB12" s="818"/>
      <c r="AC12" s="818"/>
      <c r="AD12" s="818"/>
      <c r="AE12" s="818"/>
      <c r="AF12" s="818"/>
      <c r="AG12" s="818"/>
      <c r="AH12" s="818"/>
      <c r="AI12" s="818"/>
      <c r="AJ12" s="818"/>
      <c r="AK12" s="818"/>
      <c r="AL12" s="813">
        <v>12786</v>
      </c>
      <c r="AM12" s="813">
        <v>12745</v>
      </c>
      <c r="AN12" s="813">
        <v>13076</v>
      </c>
      <c r="AO12" s="813">
        <v>13731</v>
      </c>
      <c r="AP12" s="813">
        <v>13949</v>
      </c>
      <c r="AQ12" s="814">
        <v>14497</v>
      </c>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row>
    <row r="13" spans="1:85" s="40" customFormat="1" ht="24" customHeight="1">
      <c r="A13" s="441" t="s">
        <v>369</v>
      </c>
      <c r="B13" s="801" t="s">
        <v>384</v>
      </c>
      <c r="C13" s="802"/>
      <c r="D13" s="802"/>
      <c r="E13" s="802"/>
      <c r="F13" s="802"/>
      <c r="G13" s="803"/>
      <c r="H13" s="802"/>
      <c r="I13" s="802"/>
      <c r="J13" s="802"/>
      <c r="K13" s="803"/>
      <c r="L13" s="803"/>
      <c r="M13" s="803"/>
      <c r="N13" s="803"/>
      <c r="O13" s="803"/>
      <c r="P13" s="804"/>
      <c r="Q13" s="805"/>
      <c r="R13" s="805"/>
      <c r="S13" s="805"/>
      <c r="T13" s="805"/>
      <c r="U13" s="805"/>
      <c r="V13" s="805"/>
      <c r="W13" s="805"/>
      <c r="X13" s="805"/>
      <c r="Y13" s="805"/>
      <c r="Z13" s="805"/>
      <c r="AA13" s="805"/>
      <c r="AB13" s="805"/>
      <c r="AC13" s="805"/>
      <c r="AD13" s="805"/>
      <c r="AE13" s="805"/>
      <c r="AF13" s="805"/>
      <c r="AG13" s="805"/>
      <c r="AH13" s="805"/>
      <c r="AI13" s="805"/>
      <c r="AJ13" s="805"/>
      <c r="AK13" s="805"/>
      <c r="AL13" s="806">
        <f>SUM(AL15:AL19)</f>
        <v>0</v>
      </c>
      <c r="AM13" s="806">
        <v>1070</v>
      </c>
      <c r="AN13" s="806">
        <f>SUM(AN15:AN19)</f>
        <v>1032</v>
      </c>
      <c r="AO13" s="806">
        <f>SUM(AO15:AO19)</f>
        <v>988</v>
      </c>
      <c r="AP13" s="824">
        <f>SUM(AP15:AP19)</f>
        <v>934</v>
      </c>
      <c r="AQ13" s="807">
        <f>SUM(AQ15:AQ19)</f>
        <v>1106</v>
      </c>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row>
    <row r="14" spans="1:85" s="32" customFormat="1" ht="18" customHeight="1">
      <c r="A14" s="808" t="s">
        <v>745</v>
      </c>
      <c r="B14" s="809" t="s">
        <v>746</v>
      </c>
      <c r="C14" s="810"/>
      <c r="D14" s="810"/>
      <c r="E14" s="810"/>
      <c r="F14" s="810"/>
      <c r="G14" s="718"/>
      <c r="H14" s="810"/>
      <c r="I14" s="810"/>
      <c r="J14" s="810"/>
      <c r="K14" s="718"/>
      <c r="L14" s="718"/>
      <c r="M14" s="718"/>
      <c r="N14" s="718"/>
      <c r="O14" s="718"/>
      <c r="P14" s="811"/>
      <c r="Q14" s="812"/>
      <c r="R14" s="812"/>
      <c r="S14" s="812"/>
      <c r="T14" s="812"/>
      <c r="U14" s="812"/>
      <c r="V14" s="812"/>
      <c r="W14" s="812"/>
      <c r="X14" s="812"/>
      <c r="Y14" s="812"/>
      <c r="Z14" s="812"/>
      <c r="AA14" s="812"/>
      <c r="AB14" s="812"/>
      <c r="AC14" s="812"/>
      <c r="AD14" s="812"/>
      <c r="AE14" s="812"/>
      <c r="AF14" s="812"/>
      <c r="AG14" s="812"/>
      <c r="AH14" s="812"/>
      <c r="AI14" s="812"/>
      <c r="AJ14" s="812"/>
      <c r="AK14" s="812"/>
      <c r="AL14" s="813">
        <f>SUM(AL15:AL17)</f>
        <v>0</v>
      </c>
      <c r="AM14" s="813">
        <f t="shared" ref="AM14:AQ14" si="2">SUM(AM15:AM17)</f>
        <v>1070</v>
      </c>
      <c r="AN14" s="813">
        <f t="shared" si="2"/>
        <v>1032</v>
      </c>
      <c r="AO14" s="813">
        <f t="shared" si="2"/>
        <v>988</v>
      </c>
      <c r="AP14" s="813">
        <f t="shared" si="2"/>
        <v>934</v>
      </c>
      <c r="AQ14" s="814">
        <f t="shared" si="2"/>
        <v>1106</v>
      </c>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row>
    <row r="15" spans="1:85" ht="18" customHeight="1">
      <c r="A15" s="815" t="s">
        <v>370</v>
      </c>
      <c r="B15" s="820" t="s">
        <v>381</v>
      </c>
      <c r="C15" s="825"/>
      <c r="D15" s="825"/>
      <c r="E15" s="825"/>
      <c r="F15" s="825"/>
      <c r="G15" s="709"/>
      <c r="H15" s="825"/>
      <c r="I15" s="825"/>
      <c r="J15" s="825"/>
      <c r="K15" s="709"/>
      <c r="L15" s="709"/>
      <c r="M15" s="709"/>
      <c r="N15" s="709"/>
      <c r="O15" s="709"/>
      <c r="P15" s="826"/>
      <c r="Q15" s="770"/>
      <c r="R15" s="770"/>
      <c r="S15" s="770"/>
      <c r="T15" s="770"/>
      <c r="U15" s="770"/>
      <c r="V15" s="770"/>
      <c r="W15" s="770"/>
      <c r="X15" s="770"/>
      <c r="Y15" s="770"/>
      <c r="Z15" s="770"/>
      <c r="AA15" s="770"/>
      <c r="AB15" s="770"/>
      <c r="AC15" s="770"/>
      <c r="AD15" s="770"/>
      <c r="AE15" s="770"/>
      <c r="AF15" s="770"/>
      <c r="AG15" s="770"/>
      <c r="AH15" s="770"/>
      <c r="AI15" s="770"/>
      <c r="AJ15" s="770"/>
      <c r="AK15" s="770"/>
      <c r="AL15" s="827"/>
      <c r="AM15" s="813">
        <v>37</v>
      </c>
      <c r="AN15" s="813">
        <v>35</v>
      </c>
      <c r="AO15" s="813">
        <v>31</v>
      </c>
      <c r="AP15" s="813">
        <v>29</v>
      </c>
      <c r="AQ15" s="814">
        <v>27</v>
      </c>
    </row>
    <row r="16" spans="1:85" ht="18" customHeight="1">
      <c r="A16" s="815" t="s">
        <v>371</v>
      </c>
      <c r="B16" s="820" t="s">
        <v>343</v>
      </c>
      <c r="C16" s="825"/>
      <c r="D16" s="825"/>
      <c r="E16" s="825"/>
      <c r="F16" s="825"/>
      <c r="G16" s="709"/>
      <c r="H16" s="825"/>
      <c r="I16" s="825"/>
      <c r="J16" s="825"/>
      <c r="K16" s="709"/>
      <c r="L16" s="709"/>
      <c r="M16" s="709"/>
      <c r="N16" s="709"/>
      <c r="O16" s="709"/>
      <c r="P16" s="826"/>
      <c r="Q16" s="770"/>
      <c r="R16" s="770"/>
      <c r="S16" s="770"/>
      <c r="T16" s="770"/>
      <c r="U16" s="770"/>
      <c r="V16" s="770"/>
      <c r="W16" s="770"/>
      <c r="X16" s="770"/>
      <c r="Y16" s="770"/>
      <c r="Z16" s="770"/>
      <c r="AA16" s="770"/>
      <c r="AB16" s="770"/>
      <c r="AC16" s="770"/>
      <c r="AD16" s="770"/>
      <c r="AE16" s="770"/>
      <c r="AF16" s="770"/>
      <c r="AG16" s="770"/>
      <c r="AH16" s="770"/>
      <c r="AI16" s="770"/>
      <c r="AJ16" s="770"/>
      <c r="AK16" s="770"/>
      <c r="AL16" s="827"/>
      <c r="AM16" s="813">
        <v>182</v>
      </c>
      <c r="AN16" s="813">
        <v>172</v>
      </c>
      <c r="AO16" s="813">
        <v>159</v>
      </c>
      <c r="AP16" s="813">
        <v>149</v>
      </c>
      <c r="AQ16" s="814">
        <v>148</v>
      </c>
    </row>
    <row r="17" spans="1:85" ht="18" customHeight="1">
      <c r="A17" s="815" t="s">
        <v>372</v>
      </c>
      <c r="B17" s="820" t="s">
        <v>382</v>
      </c>
      <c r="C17" s="825"/>
      <c r="D17" s="825"/>
      <c r="E17" s="825"/>
      <c r="F17" s="825"/>
      <c r="G17" s="709"/>
      <c r="H17" s="825"/>
      <c r="I17" s="825"/>
      <c r="J17" s="825"/>
      <c r="K17" s="709"/>
      <c r="L17" s="709"/>
      <c r="M17" s="709"/>
      <c r="N17" s="709"/>
      <c r="O17" s="709"/>
      <c r="P17" s="826"/>
      <c r="Q17" s="770"/>
      <c r="R17" s="770"/>
      <c r="S17" s="770"/>
      <c r="T17" s="770"/>
      <c r="U17" s="770"/>
      <c r="V17" s="770"/>
      <c r="W17" s="770"/>
      <c r="X17" s="770"/>
      <c r="Y17" s="770"/>
      <c r="Z17" s="770"/>
      <c r="AA17" s="770"/>
      <c r="AB17" s="770"/>
      <c r="AC17" s="770"/>
      <c r="AD17" s="770"/>
      <c r="AE17" s="770"/>
      <c r="AF17" s="770"/>
      <c r="AG17" s="770"/>
      <c r="AH17" s="770"/>
      <c r="AI17" s="770"/>
      <c r="AJ17" s="770"/>
      <c r="AK17" s="770"/>
      <c r="AL17" s="827"/>
      <c r="AM17" s="813">
        <v>851</v>
      </c>
      <c r="AN17" s="813">
        <v>825</v>
      </c>
      <c r="AO17" s="813">
        <v>798</v>
      </c>
      <c r="AP17" s="813">
        <v>756</v>
      </c>
      <c r="AQ17" s="814">
        <v>931</v>
      </c>
    </row>
    <row r="18" spans="1:85" ht="18" customHeight="1">
      <c r="A18" s="819" t="s">
        <v>373</v>
      </c>
      <c r="B18" s="820" t="s">
        <v>383</v>
      </c>
      <c r="C18" s="825"/>
      <c r="D18" s="825"/>
      <c r="E18" s="825"/>
      <c r="F18" s="825"/>
      <c r="G18" s="709"/>
      <c r="H18" s="825"/>
      <c r="I18" s="825"/>
      <c r="J18" s="825"/>
      <c r="K18" s="709"/>
      <c r="L18" s="709"/>
      <c r="M18" s="709"/>
      <c r="N18" s="709"/>
      <c r="O18" s="709"/>
      <c r="P18" s="826"/>
      <c r="Q18" s="770"/>
      <c r="R18" s="770"/>
      <c r="S18" s="770"/>
      <c r="T18" s="770"/>
      <c r="U18" s="770"/>
      <c r="V18" s="770"/>
      <c r="W18" s="770"/>
      <c r="X18" s="770"/>
      <c r="Y18" s="770"/>
      <c r="Z18" s="770"/>
      <c r="AA18" s="770"/>
      <c r="AB18" s="770"/>
      <c r="AC18" s="770"/>
      <c r="AD18" s="770"/>
      <c r="AE18" s="770"/>
      <c r="AF18" s="770"/>
      <c r="AG18" s="770"/>
      <c r="AH18" s="770"/>
      <c r="AI18" s="770"/>
      <c r="AJ18" s="770"/>
      <c r="AK18" s="770"/>
      <c r="AL18" s="828"/>
      <c r="AM18" s="818"/>
      <c r="AN18" s="828"/>
      <c r="AO18" s="828"/>
      <c r="AP18" s="828"/>
      <c r="AQ18" s="829"/>
    </row>
    <row r="19" spans="1:85" ht="18" customHeight="1">
      <c r="A19" s="823" t="s">
        <v>374</v>
      </c>
      <c r="B19" s="830" t="s">
        <v>386</v>
      </c>
      <c r="C19" s="825"/>
      <c r="D19" s="825"/>
      <c r="E19" s="825"/>
      <c r="F19" s="825"/>
      <c r="G19" s="709"/>
      <c r="H19" s="825"/>
      <c r="I19" s="825"/>
      <c r="J19" s="825"/>
      <c r="K19" s="709"/>
      <c r="L19" s="709"/>
      <c r="M19" s="709"/>
      <c r="N19" s="709"/>
      <c r="O19" s="709"/>
      <c r="P19" s="826"/>
      <c r="Q19" s="770"/>
      <c r="R19" s="770"/>
      <c r="S19" s="770"/>
      <c r="T19" s="770"/>
      <c r="U19" s="770"/>
      <c r="V19" s="770"/>
      <c r="W19" s="770"/>
      <c r="X19" s="770"/>
      <c r="Y19" s="770"/>
      <c r="Z19" s="770"/>
      <c r="AA19" s="770"/>
      <c r="AB19" s="770"/>
      <c r="AC19" s="770"/>
      <c r="AD19" s="770"/>
      <c r="AE19" s="770"/>
      <c r="AF19" s="770"/>
      <c r="AG19" s="770"/>
      <c r="AH19" s="770"/>
      <c r="AI19" s="770"/>
      <c r="AJ19" s="770"/>
      <c r="AK19" s="770"/>
      <c r="AL19" s="828"/>
      <c r="AM19" s="818"/>
      <c r="AN19" s="828"/>
      <c r="AO19" s="828"/>
      <c r="AP19" s="828"/>
      <c r="AQ19" s="829"/>
    </row>
    <row r="20" spans="1:85" s="40" customFormat="1" ht="18" customHeight="1">
      <c r="A20" s="831" t="s">
        <v>366</v>
      </c>
      <c r="B20" s="765" t="s">
        <v>378</v>
      </c>
      <c r="C20" s="832"/>
      <c r="D20" s="832"/>
      <c r="E20" s="832"/>
      <c r="F20" s="832"/>
      <c r="G20" s="803"/>
      <c r="H20" s="832"/>
      <c r="I20" s="832"/>
      <c r="J20" s="832"/>
      <c r="K20" s="803"/>
      <c r="L20" s="803"/>
      <c r="M20" s="803"/>
      <c r="N20" s="803"/>
      <c r="O20" s="803"/>
      <c r="P20" s="804"/>
      <c r="Q20" s="805"/>
      <c r="R20" s="805"/>
      <c r="S20" s="805"/>
      <c r="T20" s="805"/>
      <c r="U20" s="805"/>
      <c r="V20" s="805"/>
      <c r="W20" s="805"/>
      <c r="X20" s="805"/>
      <c r="Y20" s="805"/>
      <c r="Z20" s="805"/>
      <c r="AA20" s="805"/>
      <c r="AB20" s="805"/>
      <c r="AC20" s="805"/>
      <c r="AD20" s="805"/>
      <c r="AE20" s="805"/>
      <c r="AF20" s="805"/>
      <c r="AG20" s="805"/>
      <c r="AH20" s="805"/>
      <c r="AI20" s="805"/>
      <c r="AJ20" s="805"/>
      <c r="AK20" s="805"/>
      <c r="AL20" s="833">
        <v>-1</v>
      </c>
      <c r="AM20" s="833">
        <v>-1</v>
      </c>
      <c r="AN20" s="833">
        <v>0</v>
      </c>
      <c r="AO20" s="833">
        <v>0</v>
      </c>
      <c r="AP20" s="833">
        <v>0</v>
      </c>
      <c r="AQ20" s="834">
        <v>1</v>
      </c>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row>
    <row r="21" spans="1:85" s="117" customFormat="1" ht="23.25" customHeight="1">
      <c r="A21" s="835" t="s">
        <v>367</v>
      </c>
      <c r="B21" s="836" t="s">
        <v>377</v>
      </c>
      <c r="C21" s="837"/>
      <c r="D21" s="837"/>
      <c r="E21" s="837"/>
      <c r="F21" s="837"/>
      <c r="G21" s="838"/>
      <c r="H21" s="837"/>
      <c r="I21" s="837"/>
      <c r="J21" s="837"/>
      <c r="K21" s="838"/>
      <c r="L21" s="838"/>
      <c r="M21" s="838"/>
      <c r="N21" s="838"/>
      <c r="O21" s="838"/>
      <c r="P21" s="839"/>
      <c r="Q21" s="840"/>
      <c r="R21" s="840"/>
      <c r="S21" s="840"/>
      <c r="T21" s="840"/>
      <c r="U21" s="840"/>
      <c r="V21" s="840"/>
      <c r="W21" s="840"/>
      <c r="X21" s="840"/>
      <c r="Y21" s="840"/>
      <c r="Z21" s="840"/>
      <c r="AA21" s="840"/>
      <c r="AB21" s="840"/>
      <c r="AC21" s="840"/>
      <c r="AD21" s="840"/>
      <c r="AE21" s="840"/>
      <c r="AF21" s="840"/>
      <c r="AG21" s="840"/>
      <c r="AH21" s="840"/>
      <c r="AI21" s="840"/>
      <c r="AJ21" s="840"/>
      <c r="AK21" s="840"/>
      <c r="AL21" s="549">
        <f>AL5+AL13+AL20</f>
        <v>205628</v>
      </c>
      <c r="AM21" s="549">
        <v>200463</v>
      </c>
      <c r="AN21" s="549">
        <f t="shared" ref="AN21:AQ21" si="3">AN5+AN13+AN20</f>
        <v>202788</v>
      </c>
      <c r="AO21" s="549">
        <f t="shared" si="3"/>
        <v>207593</v>
      </c>
      <c r="AP21" s="549">
        <f t="shared" si="3"/>
        <v>211633</v>
      </c>
      <c r="AQ21" s="655">
        <f t="shared" si="3"/>
        <v>214912</v>
      </c>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row>
    <row r="22" spans="1:85" ht="15.75" thickBot="1">
      <c r="A22" s="756"/>
      <c r="B22" s="757"/>
      <c r="C22" s="758"/>
      <c r="D22" s="758"/>
      <c r="E22" s="758"/>
      <c r="F22" s="758"/>
      <c r="G22" s="759"/>
      <c r="H22" s="758"/>
      <c r="I22" s="758"/>
      <c r="J22" s="758"/>
      <c r="K22" s="759"/>
      <c r="L22" s="759"/>
      <c r="M22" s="759"/>
      <c r="N22" s="759"/>
      <c r="O22" s="759"/>
      <c r="P22" s="760"/>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761"/>
      <c r="AN22" s="761"/>
      <c r="AO22" s="761"/>
      <c r="AP22" s="761"/>
      <c r="AQ22" s="761"/>
    </row>
    <row r="23" spans="1:85" s="117" customFormat="1" ht="18" customHeight="1" thickBot="1">
      <c r="A23" s="343" t="s">
        <v>365</v>
      </c>
      <c r="B23" s="793" t="s">
        <v>182</v>
      </c>
      <c r="C23" s="794" t="s">
        <v>304</v>
      </c>
      <c r="D23" s="794" t="s">
        <v>303</v>
      </c>
      <c r="E23" s="794" t="s">
        <v>302</v>
      </c>
      <c r="F23" s="794" t="s">
        <v>301</v>
      </c>
      <c r="G23" s="794" t="s">
        <v>297</v>
      </c>
      <c r="H23" s="794" t="s">
        <v>298</v>
      </c>
      <c r="I23" s="794" t="s">
        <v>299</v>
      </c>
      <c r="J23" s="794" t="s">
        <v>300</v>
      </c>
      <c r="K23" s="794" t="s">
        <v>296</v>
      </c>
      <c r="L23" s="794" t="s">
        <v>295</v>
      </c>
      <c r="M23" s="794" t="s">
        <v>294</v>
      </c>
      <c r="N23" s="794" t="s">
        <v>293</v>
      </c>
      <c r="O23" s="794" t="s">
        <v>292</v>
      </c>
      <c r="P23" s="794" t="s">
        <v>291</v>
      </c>
      <c r="Q23" s="794" t="s">
        <v>290</v>
      </c>
      <c r="R23" s="794" t="s">
        <v>289</v>
      </c>
      <c r="S23" s="794" t="s">
        <v>288</v>
      </c>
      <c r="T23" s="794" t="s">
        <v>287</v>
      </c>
      <c r="U23" s="794" t="s">
        <v>286</v>
      </c>
      <c r="V23" s="794" t="s">
        <v>285</v>
      </c>
      <c r="W23" s="794" t="s">
        <v>281</v>
      </c>
      <c r="X23" s="794" t="s">
        <v>282</v>
      </c>
      <c r="Y23" s="794" t="s">
        <v>283</v>
      </c>
      <c r="Z23" s="794" t="s">
        <v>284</v>
      </c>
      <c r="AA23" s="794" t="s">
        <v>277</v>
      </c>
      <c r="AB23" s="794" t="s">
        <v>278</v>
      </c>
      <c r="AC23" s="794" t="s">
        <v>279</v>
      </c>
      <c r="AD23" s="794" t="s">
        <v>280</v>
      </c>
      <c r="AE23" s="794" t="s">
        <v>274</v>
      </c>
      <c r="AF23" s="794" t="s">
        <v>275</v>
      </c>
      <c r="AG23" s="794" t="s">
        <v>276</v>
      </c>
      <c r="AH23" s="794" t="s">
        <v>256</v>
      </c>
      <c r="AI23" s="794" t="s">
        <v>273</v>
      </c>
      <c r="AJ23" s="794" t="s">
        <v>272</v>
      </c>
      <c r="AK23" s="794" t="s">
        <v>255</v>
      </c>
      <c r="AL23" s="794" t="s">
        <v>271</v>
      </c>
      <c r="AM23" s="794" t="str">
        <f>AM3</f>
        <v>01.01.2018</v>
      </c>
      <c r="AN23" s="794" t="s">
        <v>270</v>
      </c>
      <c r="AO23" s="794" t="s">
        <v>269</v>
      </c>
      <c r="AP23" s="794" t="s">
        <v>268</v>
      </c>
      <c r="AQ23" s="795" t="str">
        <f>AQ3</f>
        <v>31.12.2018</v>
      </c>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row>
    <row r="24" spans="1:85" s="37" customFormat="1" ht="18" customHeight="1">
      <c r="A24" s="786" t="s">
        <v>740</v>
      </c>
      <c r="B24" s="787" t="s">
        <v>741</v>
      </c>
      <c r="C24" s="788"/>
      <c r="D24" s="788"/>
      <c r="E24" s="788"/>
      <c r="F24" s="788"/>
      <c r="G24" s="789"/>
      <c r="H24" s="788"/>
      <c r="I24" s="788"/>
      <c r="J24" s="788"/>
      <c r="K24" s="789"/>
      <c r="L24" s="789"/>
      <c r="M24" s="789"/>
      <c r="N24" s="789"/>
      <c r="O24" s="789"/>
      <c r="P24" s="790"/>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2"/>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row>
    <row r="25" spans="1:85" ht="18" customHeight="1">
      <c r="A25" s="766" t="s">
        <v>333</v>
      </c>
      <c r="B25" s="767" t="s">
        <v>348</v>
      </c>
      <c r="C25" s="709"/>
      <c r="D25" s="709"/>
      <c r="E25" s="709"/>
      <c r="F25" s="709"/>
      <c r="G25" s="709"/>
      <c r="H25" s="709"/>
      <c r="I25" s="709"/>
      <c r="J25" s="709"/>
      <c r="K25" s="709"/>
      <c r="L25" s="709"/>
      <c r="M25" s="709"/>
      <c r="N25" s="709"/>
      <c r="O25" s="768"/>
      <c r="P25" s="769"/>
      <c r="Q25" s="770"/>
      <c r="R25" s="770"/>
      <c r="S25" s="770"/>
      <c r="T25" s="770"/>
      <c r="U25" s="770"/>
      <c r="V25" s="770"/>
      <c r="W25" s="770"/>
      <c r="X25" s="770"/>
      <c r="Y25" s="770"/>
      <c r="Z25" s="770"/>
      <c r="AA25" s="770"/>
      <c r="AB25" s="770"/>
      <c r="AC25" s="770"/>
      <c r="AD25" s="770"/>
      <c r="AE25" s="770"/>
      <c r="AF25" s="770"/>
      <c r="AG25" s="770"/>
      <c r="AH25" s="770"/>
      <c r="AI25" s="770"/>
      <c r="AJ25" s="770"/>
      <c r="AK25" s="770"/>
      <c r="AL25" s="528">
        <v>213452</v>
      </c>
      <c r="AM25" s="528">
        <v>211116</v>
      </c>
      <c r="AN25" s="528">
        <v>213817</v>
      </c>
      <c r="AO25" s="528">
        <v>216475</v>
      </c>
      <c r="AP25" s="528">
        <v>220002</v>
      </c>
      <c r="AQ25" s="530">
        <v>223115</v>
      </c>
    </row>
    <row r="26" spans="1:85" ht="13.5" customHeight="1">
      <c r="A26" s="771" t="s">
        <v>334</v>
      </c>
      <c r="B26" s="772" t="s">
        <v>342</v>
      </c>
      <c r="C26" s="773"/>
      <c r="D26" s="773"/>
      <c r="E26" s="773"/>
      <c r="F26" s="773"/>
      <c r="G26" s="709"/>
      <c r="H26" s="773"/>
      <c r="I26" s="773"/>
      <c r="J26" s="773"/>
      <c r="K26" s="709"/>
      <c r="L26" s="709"/>
      <c r="M26" s="709"/>
      <c r="N26" s="709"/>
      <c r="O26" s="709"/>
      <c r="P26" s="769"/>
      <c r="Q26" s="770"/>
      <c r="R26" s="770"/>
      <c r="S26" s="770"/>
      <c r="T26" s="770"/>
      <c r="U26" s="770"/>
      <c r="V26" s="770"/>
      <c r="W26" s="770"/>
      <c r="X26" s="770"/>
      <c r="Y26" s="770"/>
      <c r="Z26" s="770"/>
      <c r="AA26" s="770"/>
      <c r="AB26" s="770"/>
      <c r="AC26" s="770"/>
      <c r="AD26" s="770"/>
      <c r="AE26" s="770"/>
      <c r="AF26" s="770"/>
      <c r="AG26" s="770"/>
      <c r="AH26" s="770"/>
      <c r="AI26" s="770"/>
      <c r="AJ26" s="770"/>
      <c r="AK26" s="770"/>
      <c r="AL26" s="528">
        <v>101544</v>
      </c>
      <c r="AM26" s="528">
        <v>102092</v>
      </c>
      <c r="AN26" s="528">
        <v>103215</v>
      </c>
      <c r="AO26" s="528">
        <v>105445</v>
      </c>
      <c r="AP26" s="528">
        <v>106727</v>
      </c>
      <c r="AQ26" s="530">
        <v>108508</v>
      </c>
    </row>
    <row r="27" spans="1:85" ht="13.5" customHeight="1">
      <c r="A27" s="771" t="s">
        <v>340</v>
      </c>
      <c r="B27" s="774" t="s">
        <v>349</v>
      </c>
      <c r="C27" s="773"/>
      <c r="D27" s="773"/>
      <c r="E27" s="773"/>
      <c r="F27" s="773"/>
      <c r="G27" s="709"/>
      <c r="H27" s="773"/>
      <c r="I27" s="773"/>
      <c r="J27" s="773"/>
      <c r="K27" s="709"/>
      <c r="L27" s="709"/>
      <c r="M27" s="709"/>
      <c r="N27" s="709"/>
      <c r="O27" s="709"/>
      <c r="P27" s="769"/>
      <c r="Q27" s="770"/>
      <c r="R27" s="770"/>
      <c r="S27" s="770"/>
      <c r="T27" s="770"/>
      <c r="U27" s="770"/>
      <c r="V27" s="770"/>
      <c r="W27" s="770"/>
      <c r="X27" s="770"/>
      <c r="Y27" s="770"/>
      <c r="Z27" s="770"/>
      <c r="AA27" s="770"/>
      <c r="AB27" s="770"/>
      <c r="AC27" s="770"/>
      <c r="AD27" s="770"/>
      <c r="AE27" s="770"/>
      <c r="AF27" s="770"/>
      <c r="AG27" s="770"/>
      <c r="AH27" s="770"/>
      <c r="AI27" s="770"/>
      <c r="AJ27" s="770"/>
      <c r="AK27" s="770"/>
      <c r="AL27" s="528">
        <v>56056</v>
      </c>
      <c r="AM27" s="528">
        <f>51678+902</f>
        <v>52580</v>
      </c>
      <c r="AN27" s="528">
        <v>51865</v>
      </c>
      <c r="AO27" s="528">
        <f>52230+624</f>
        <v>52854</v>
      </c>
      <c r="AP27" s="528">
        <f>54015+191</f>
        <v>54206</v>
      </c>
      <c r="AQ27" s="530">
        <v>55268</v>
      </c>
    </row>
    <row r="28" spans="1:85" ht="13.5" customHeight="1">
      <c r="A28" s="771" t="s">
        <v>331</v>
      </c>
      <c r="B28" s="772" t="s">
        <v>344</v>
      </c>
      <c r="C28" s="773"/>
      <c r="D28" s="773"/>
      <c r="E28" s="773"/>
      <c r="F28" s="773"/>
      <c r="G28" s="709"/>
      <c r="H28" s="773"/>
      <c r="I28" s="773"/>
      <c r="J28" s="773"/>
      <c r="K28" s="709"/>
      <c r="L28" s="709"/>
      <c r="M28" s="709"/>
      <c r="N28" s="709"/>
      <c r="O28" s="709"/>
      <c r="P28" s="769"/>
      <c r="Q28" s="770"/>
      <c r="R28" s="770"/>
      <c r="S28" s="770"/>
      <c r="T28" s="770"/>
      <c r="U28" s="770"/>
      <c r="V28" s="770"/>
      <c r="W28" s="770"/>
      <c r="X28" s="770"/>
      <c r="Y28" s="770"/>
      <c r="Z28" s="770"/>
      <c r="AA28" s="770"/>
      <c r="AB28" s="770"/>
      <c r="AC28" s="770"/>
      <c r="AD28" s="770"/>
      <c r="AE28" s="770"/>
      <c r="AF28" s="770"/>
      <c r="AG28" s="770"/>
      <c r="AH28" s="770"/>
      <c r="AI28" s="770"/>
      <c r="AJ28" s="770"/>
      <c r="AK28" s="770"/>
      <c r="AL28" s="528">
        <v>29564</v>
      </c>
      <c r="AM28" s="528">
        <v>29921</v>
      </c>
      <c r="AN28" s="528">
        <v>31835</v>
      </c>
      <c r="AO28" s="528">
        <v>30718</v>
      </c>
      <c r="AP28" s="528">
        <v>31005</v>
      </c>
      <c r="AQ28" s="530">
        <v>31109</v>
      </c>
    </row>
    <row r="29" spans="1:85" ht="13.5" customHeight="1">
      <c r="A29" s="771" t="s">
        <v>323</v>
      </c>
      <c r="B29" s="772" t="s">
        <v>345</v>
      </c>
      <c r="C29" s="773"/>
      <c r="D29" s="773"/>
      <c r="E29" s="773"/>
      <c r="F29" s="773"/>
      <c r="G29" s="709"/>
      <c r="H29" s="773"/>
      <c r="I29" s="773"/>
      <c r="J29" s="773"/>
      <c r="K29" s="709"/>
      <c r="L29" s="709"/>
      <c r="M29" s="709"/>
      <c r="N29" s="709"/>
      <c r="O29" s="709"/>
      <c r="P29" s="769"/>
      <c r="Q29" s="770"/>
      <c r="R29" s="770"/>
      <c r="S29" s="770"/>
      <c r="T29" s="770"/>
      <c r="U29" s="770"/>
      <c r="V29" s="770"/>
      <c r="W29" s="770"/>
      <c r="X29" s="770"/>
      <c r="Y29" s="770"/>
      <c r="Z29" s="770"/>
      <c r="AA29" s="770"/>
      <c r="AB29" s="770"/>
      <c r="AC29" s="770"/>
      <c r="AD29" s="770"/>
      <c r="AE29" s="770"/>
      <c r="AF29" s="770"/>
      <c r="AG29" s="770"/>
      <c r="AH29" s="770"/>
      <c r="AI29" s="770"/>
      <c r="AJ29" s="770"/>
      <c r="AK29" s="770"/>
      <c r="AL29" s="528">
        <v>26288</v>
      </c>
      <c r="AM29" s="528">
        <v>26523</v>
      </c>
      <c r="AN29" s="528">
        <v>26902</v>
      </c>
      <c r="AO29" s="528">
        <v>27458</v>
      </c>
      <c r="AP29" s="528">
        <v>28064</v>
      </c>
      <c r="AQ29" s="530">
        <v>28230</v>
      </c>
    </row>
    <row r="30" spans="1:85" s="34" customFormat="1" ht="29.25" customHeight="1">
      <c r="A30" s="775" t="s">
        <v>336</v>
      </c>
      <c r="B30" s="767" t="s">
        <v>346</v>
      </c>
      <c r="C30" s="776"/>
      <c r="D30" s="776"/>
      <c r="E30" s="776"/>
      <c r="F30" s="776"/>
      <c r="G30" s="777"/>
      <c r="H30" s="776"/>
      <c r="I30" s="776"/>
      <c r="J30" s="776"/>
      <c r="K30" s="777"/>
      <c r="L30" s="777"/>
      <c r="M30" s="777"/>
      <c r="N30" s="777"/>
      <c r="O30" s="777"/>
      <c r="P30" s="778"/>
      <c r="Q30" s="779"/>
      <c r="R30" s="779"/>
      <c r="S30" s="779"/>
      <c r="T30" s="779"/>
      <c r="U30" s="779"/>
      <c r="V30" s="779"/>
      <c r="W30" s="779"/>
      <c r="X30" s="779"/>
      <c r="Y30" s="779"/>
      <c r="Z30" s="779"/>
      <c r="AA30" s="779"/>
      <c r="AB30" s="779"/>
      <c r="AC30" s="779"/>
      <c r="AD30" s="779"/>
      <c r="AE30" s="779"/>
      <c r="AF30" s="779"/>
      <c r="AG30" s="779"/>
      <c r="AH30" s="779"/>
      <c r="AI30" s="779"/>
      <c r="AJ30" s="779"/>
      <c r="AK30" s="779"/>
      <c r="AL30" s="780">
        <v>-7823</v>
      </c>
      <c r="AM30" s="780">
        <v>-10653</v>
      </c>
      <c r="AN30" s="780">
        <v>-11029</v>
      </c>
      <c r="AO30" s="780">
        <v>-8882</v>
      </c>
      <c r="AP30" s="528">
        <v>-8369</v>
      </c>
      <c r="AQ30" s="530">
        <v>-8204</v>
      </c>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row>
    <row r="31" spans="1:85" s="117" customFormat="1" ht="23.25" customHeight="1">
      <c r="A31" s="781" t="s">
        <v>337</v>
      </c>
      <c r="B31" s="782" t="s">
        <v>347</v>
      </c>
      <c r="C31" s="783"/>
      <c r="D31" s="783"/>
      <c r="E31" s="783"/>
      <c r="F31" s="783"/>
      <c r="G31" s="783"/>
      <c r="H31" s="783"/>
      <c r="I31" s="783"/>
      <c r="J31" s="783"/>
      <c r="K31" s="783"/>
      <c r="L31" s="783"/>
      <c r="M31" s="783"/>
      <c r="N31" s="783"/>
      <c r="O31" s="783"/>
      <c r="P31" s="784"/>
      <c r="Q31" s="785"/>
      <c r="R31" s="785"/>
      <c r="S31" s="785"/>
      <c r="T31" s="785"/>
      <c r="U31" s="785"/>
      <c r="V31" s="785"/>
      <c r="W31" s="785"/>
      <c r="X31" s="785"/>
      <c r="Y31" s="785"/>
      <c r="Z31" s="785"/>
      <c r="AA31" s="785"/>
      <c r="AB31" s="785"/>
      <c r="AC31" s="785"/>
      <c r="AD31" s="785"/>
      <c r="AE31" s="785"/>
      <c r="AF31" s="785"/>
      <c r="AG31" s="785"/>
      <c r="AH31" s="785"/>
      <c r="AI31" s="785"/>
      <c r="AJ31" s="785"/>
      <c r="AK31" s="785"/>
      <c r="AL31" s="549">
        <v>205629</v>
      </c>
      <c r="AM31" s="549">
        <v>200463</v>
      </c>
      <c r="AN31" s="549">
        <v>202788</v>
      </c>
      <c r="AO31" s="549">
        <v>207593</v>
      </c>
      <c r="AP31" s="549">
        <v>211633</v>
      </c>
      <c r="AQ31" s="655">
        <v>214911</v>
      </c>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row>
    <row r="32" spans="1:85" s="199" customFormat="1" ht="12">
      <c r="A32" s="288"/>
      <c r="B32" s="762"/>
      <c r="C32" s="289"/>
      <c r="D32" s="289"/>
      <c r="E32" s="289"/>
      <c r="F32" s="289"/>
      <c r="G32" s="290"/>
      <c r="H32" s="289"/>
      <c r="I32" s="289"/>
      <c r="J32" s="289"/>
      <c r="K32" s="290"/>
      <c r="L32" s="290"/>
      <c r="M32" s="290"/>
      <c r="N32" s="290"/>
      <c r="O32" s="290"/>
      <c r="P32" s="291"/>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M32" s="293"/>
      <c r="AN32" s="293"/>
      <c r="AO32" s="293"/>
      <c r="AP32" s="293"/>
      <c r="AQ32" s="293"/>
    </row>
    <row r="33" spans="2:43" s="146" customFormat="1" ht="19.5" customHeight="1">
      <c r="B33" s="201"/>
      <c r="C33" s="201"/>
      <c r="D33" s="201"/>
      <c r="E33" s="201"/>
      <c r="F33" s="201"/>
      <c r="G33" s="201"/>
      <c r="H33" s="201"/>
      <c r="I33" s="201"/>
      <c r="J33" s="201"/>
      <c r="K33" s="201"/>
      <c r="L33" s="201"/>
      <c r="M33" s="201"/>
      <c r="N33" s="201"/>
      <c r="O33" s="201"/>
      <c r="P33" s="202"/>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row>
    <row r="34" spans="2:43" s="146" customFormat="1">
      <c r="B34" s="201"/>
      <c r="C34" s="201"/>
      <c r="D34" s="201"/>
      <c r="E34" s="201"/>
      <c r="F34" s="201"/>
      <c r="G34" s="201"/>
      <c r="H34" s="201"/>
      <c r="I34" s="201"/>
      <c r="J34" s="201"/>
      <c r="K34" s="201"/>
      <c r="L34" s="201"/>
      <c r="M34" s="201"/>
      <c r="N34" s="201"/>
      <c r="O34" s="201"/>
      <c r="P34" s="202"/>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row>
    <row r="35" spans="2:43" s="146" customFormat="1">
      <c r="B35" s="201"/>
      <c r="C35" s="201"/>
      <c r="D35" s="201"/>
      <c r="E35" s="201"/>
      <c r="F35" s="201"/>
      <c r="G35" s="201"/>
      <c r="H35" s="201"/>
      <c r="I35" s="201"/>
      <c r="J35" s="201"/>
      <c r="K35" s="201"/>
      <c r="L35" s="201"/>
      <c r="M35" s="201"/>
      <c r="N35" s="201"/>
      <c r="O35" s="201"/>
      <c r="P35" s="202"/>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row>
    <row r="36" spans="2:43" s="146" customFormat="1">
      <c r="B36" s="201"/>
      <c r="C36" s="201"/>
      <c r="D36" s="201"/>
      <c r="E36" s="201"/>
      <c r="F36" s="201"/>
      <c r="G36" s="201"/>
      <c r="H36" s="201"/>
      <c r="I36" s="201"/>
      <c r="J36" s="201"/>
      <c r="K36" s="201"/>
      <c r="L36" s="201"/>
      <c r="M36" s="201"/>
      <c r="N36" s="201"/>
      <c r="O36" s="201"/>
      <c r="P36" s="202"/>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row>
    <row r="37" spans="2:43" s="146" customFormat="1">
      <c r="P37" s="145"/>
    </row>
    <row r="38" spans="2:43" s="146" customFormat="1">
      <c r="P38" s="145"/>
    </row>
    <row r="39" spans="2:43" s="146" customFormat="1">
      <c r="P39" s="145"/>
    </row>
    <row r="40" spans="2:43" s="146" customFormat="1">
      <c r="P40" s="145"/>
    </row>
    <row r="41" spans="2:43" s="146" customFormat="1">
      <c r="P41" s="145"/>
    </row>
    <row r="42" spans="2:43" s="146" customFormat="1">
      <c r="P42" s="145"/>
    </row>
    <row r="43" spans="2:43" s="146" customFormat="1">
      <c r="P43" s="145"/>
    </row>
    <row r="44" spans="2:43" s="146" customFormat="1">
      <c r="P44" s="145"/>
    </row>
    <row r="45" spans="2:43" s="146" customFormat="1">
      <c r="P45" s="145"/>
    </row>
    <row r="46" spans="2:43" s="146" customFormat="1">
      <c r="P46" s="145"/>
    </row>
    <row r="47" spans="2:43" s="146" customFormat="1">
      <c r="P47" s="145"/>
    </row>
    <row r="48" spans="2:43" s="146" customFormat="1">
      <c r="P48" s="145"/>
    </row>
    <row r="49" spans="16:16" s="146" customFormat="1">
      <c r="P49" s="145"/>
    </row>
    <row r="50" spans="16:16" s="146" customFormat="1">
      <c r="P50" s="145"/>
    </row>
    <row r="51" spans="16:16" s="146" customFormat="1">
      <c r="P51" s="145"/>
    </row>
    <row r="52" spans="16:16" s="146" customFormat="1">
      <c r="P52" s="145"/>
    </row>
    <row r="53" spans="16:16" s="146" customFormat="1">
      <c r="P53" s="145"/>
    </row>
    <row r="54" spans="16:16" s="146" customFormat="1">
      <c r="P54" s="145"/>
    </row>
    <row r="55" spans="16:16" s="146" customFormat="1">
      <c r="P55" s="145"/>
    </row>
    <row r="56" spans="16:16" s="146" customFormat="1">
      <c r="P56" s="145"/>
    </row>
    <row r="57" spans="16:16" s="146" customFormat="1">
      <c r="P57" s="145"/>
    </row>
    <row r="58" spans="16:16" s="146" customFormat="1">
      <c r="P58" s="145"/>
    </row>
    <row r="59" spans="16:16" s="146" customFormat="1">
      <c r="P59" s="145"/>
    </row>
    <row r="60" spans="16:16" s="146" customFormat="1">
      <c r="P60" s="145"/>
    </row>
    <row r="61" spans="16:16" s="146" customFormat="1">
      <c r="P61" s="145"/>
    </row>
    <row r="62" spans="16:16" s="146" customFormat="1">
      <c r="P62" s="145"/>
    </row>
    <row r="63" spans="16:16" s="146" customFormat="1">
      <c r="P63" s="145"/>
    </row>
    <row r="64" spans="16:16" s="146" customFormat="1">
      <c r="P64" s="145"/>
    </row>
    <row r="65" spans="16:16" s="146" customFormat="1">
      <c r="P65" s="145"/>
    </row>
    <row r="66" spans="16:16" s="146" customFormat="1">
      <c r="P66" s="145"/>
    </row>
    <row r="67" spans="16:16" s="146" customFormat="1">
      <c r="P67" s="145"/>
    </row>
    <row r="68" spans="16:16" s="146" customFormat="1">
      <c r="P68" s="145"/>
    </row>
    <row r="69" spans="16:16" s="146" customFormat="1">
      <c r="P69" s="145"/>
    </row>
    <row r="70" spans="16:16" s="146" customFormat="1">
      <c r="P70" s="145"/>
    </row>
    <row r="71" spans="16:16" s="146" customFormat="1">
      <c r="P71" s="145"/>
    </row>
    <row r="72" spans="16:16" s="146" customFormat="1">
      <c r="P72" s="145"/>
    </row>
    <row r="73" spans="16:16" s="146" customFormat="1">
      <c r="P73" s="145"/>
    </row>
    <row r="74" spans="16:16" s="146" customFormat="1">
      <c r="P74" s="145"/>
    </row>
    <row r="75" spans="16:16" s="146" customFormat="1">
      <c r="P75" s="145"/>
    </row>
    <row r="76" spans="16:16" s="146" customFormat="1">
      <c r="P76" s="145"/>
    </row>
    <row r="77" spans="16:16" s="146" customFormat="1">
      <c r="P77" s="145"/>
    </row>
    <row r="78" spans="16:16" s="146" customFormat="1">
      <c r="P78" s="145"/>
    </row>
    <row r="79" spans="16:16" s="146" customFormat="1">
      <c r="P79" s="145"/>
    </row>
    <row r="80" spans="16:16" s="146" customFormat="1">
      <c r="P80" s="145"/>
    </row>
    <row r="81" spans="16:16" s="146" customFormat="1">
      <c r="P81" s="145"/>
    </row>
    <row r="82" spans="16:16" s="146" customFormat="1">
      <c r="P82" s="145"/>
    </row>
    <row r="83" spans="16:16" s="146" customFormat="1">
      <c r="P83" s="145"/>
    </row>
    <row r="84" spans="16:16" s="146" customFormat="1">
      <c r="P84" s="145"/>
    </row>
    <row r="85" spans="16:16" s="146" customFormat="1">
      <c r="P85" s="145"/>
    </row>
    <row r="86" spans="16:16" s="146" customFormat="1">
      <c r="P86" s="145"/>
    </row>
    <row r="87" spans="16:16" s="146" customFormat="1">
      <c r="P87" s="145"/>
    </row>
    <row r="88" spans="16:16" s="146" customFormat="1">
      <c r="P88" s="145"/>
    </row>
    <row r="89" spans="16:16" s="146" customFormat="1">
      <c r="P89" s="145"/>
    </row>
    <row r="90" spans="16:16" s="146" customFormat="1">
      <c r="P90" s="145"/>
    </row>
    <row r="91" spans="16:16" s="146" customFormat="1">
      <c r="P91" s="145"/>
    </row>
    <row r="92" spans="16:16" s="146" customFormat="1">
      <c r="P92" s="145"/>
    </row>
    <row r="93" spans="16:16" s="146" customFormat="1">
      <c r="P93" s="145"/>
    </row>
    <row r="94" spans="16:16" s="146" customFormat="1">
      <c r="P94" s="145"/>
    </row>
    <row r="95" spans="16:16" s="146" customFormat="1">
      <c r="P95" s="145"/>
    </row>
    <row r="96" spans="16:16" s="146" customFormat="1">
      <c r="P96" s="145"/>
    </row>
    <row r="97" spans="16:16" s="146" customFormat="1">
      <c r="P97" s="145"/>
    </row>
    <row r="98" spans="16:16" s="146" customFormat="1">
      <c r="P98" s="145"/>
    </row>
    <row r="99" spans="16:16" s="146" customFormat="1">
      <c r="P99" s="145"/>
    </row>
    <row r="100" spans="16:16" s="146" customFormat="1">
      <c r="P100" s="145"/>
    </row>
    <row r="101" spans="16:16" s="146" customFormat="1">
      <c r="P101" s="145"/>
    </row>
    <row r="102" spans="16:16" s="146" customFormat="1">
      <c r="P102" s="145"/>
    </row>
    <row r="103" spans="16:16" s="146" customFormat="1">
      <c r="P103" s="145"/>
    </row>
    <row r="104" spans="16:16" s="146" customFormat="1">
      <c r="P104" s="145"/>
    </row>
    <row r="105" spans="16:16" s="146" customFormat="1">
      <c r="P105" s="145"/>
    </row>
    <row r="106" spans="16:16" s="146" customFormat="1">
      <c r="P106" s="145"/>
    </row>
    <row r="107" spans="16:16" s="146" customFormat="1">
      <c r="P107" s="145"/>
    </row>
    <row r="108" spans="16:16" s="146" customFormat="1">
      <c r="P108" s="145"/>
    </row>
    <row r="109" spans="16:16" s="146" customFormat="1">
      <c r="P109" s="145"/>
    </row>
    <row r="110" spans="16:16" s="146" customFormat="1">
      <c r="P110" s="145"/>
    </row>
    <row r="111" spans="16:16" s="146" customFormat="1">
      <c r="P111" s="145"/>
    </row>
    <row r="112" spans="16:16" s="146" customFormat="1">
      <c r="P112" s="145"/>
    </row>
    <row r="113" spans="16:16" s="146" customFormat="1">
      <c r="P113" s="145"/>
    </row>
    <row r="114" spans="16:16" s="146" customFormat="1">
      <c r="P114" s="145"/>
    </row>
    <row r="115" spans="16:16" s="146" customFormat="1">
      <c r="P115" s="145"/>
    </row>
    <row r="116" spans="16:16" s="146" customFormat="1">
      <c r="P116" s="145"/>
    </row>
    <row r="117" spans="16:16" s="146" customFormat="1">
      <c r="P117" s="145"/>
    </row>
    <row r="118" spans="16:16" s="146" customFormat="1">
      <c r="P118" s="145"/>
    </row>
    <row r="119" spans="16:16" s="146" customFormat="1">
      <c r="P119" s="145"/>
    </row>
    <row r="120" spans="16:16" s="146" customFormat="1">
      <c r="P120" s="145"/>
    </row>
    <row r="121" spans="16:16" s="146" customFormat="1">
      <c r="P121" s="145"/>
    </row>
    <row r="122" spans="16:16" s="146" customFormat="1">
      <c r="P122" s="145"/>
    </row>
    <row r="123" spans="16:16" s="146" customFormat="1">
      <c r="P123" s="145"/>
    </row>
    <row r="124" spans="16:16" s="146" customFormat="1">
      <c r="P124" s="145"/>
    </row>
    <row r="125" spans="16:16" s="146" customFormat="1">
      <c r="P125" s="145"/>
    </row>
    <row r="126" spans="16:16" s="146" customFormat="1">
      <c r="P126" s="145"/>
    </row>
    <row r="127" spans="16:16" s="146" customFormat="1">
      <c r="P127" s="145"/>
    </row>
    <row r="128" spans="16:16" s="146" customFormat="1">
      <c r="P128" s="145"/>
    </row>
    <row r="129" spans="16:16" s="146" customFormat="1">
      <c r="P129" s="145"/>
    </row>
    <row r="130" spans="16:16" s="146" customFormat="1">
      <c r="P130" s="145"/>
    </row>
    <row r="131" spans="16:16" s="146" customFormat="1">
      <c r="P131" s="145"/>
    </row>
    <row r="132" spans="16:16" s="146" customFormat="1">
      <c r="P132" s="145"/>
    </row>
    <row r="133" spans="16:16" s="146" customFormat="1">
      <c r="P133" s="145"/>
    </row>
    <row r="134" spans="16:16" s="146" customFormat="1">
      <c r="P134" s="145"/>
    </row>
    <row r="135" spans="16:16" s="146" customFormat="1">
      <c r="P135" s="145"/>
    </row>
    <row r="136" spans="16:16" s="146" customFormat="1">
      <c r="P136" s="145"/>
    </row>
    <row r="137" spans="16:16" s="146" customFormat="1">
      <c r="P137" s="145"/>
    </row>
    <row r="138" spans="16:16" s="146" customFormat="1">
      <c r="P138" s="145"/>
    </row>
    <row r="139" spans="16:16" s="146" customFormat="1">
      <c r="P139" s="145"/>
    </row>
    <row r="140" spans="16:16" s="146" customFormat="1">
      <c r="P140" s="145"/>
    </row>
    <row r="141" spans="16:16" s="146" customFormat="1">
      <c r="P141" s="145"/>
    </row>
    <row r="142" spans="16:16" s="146" customFormat="1">
      <c r="P142" s="145"/>
    </row>
    <row r="143" spans="16:16" s="146" customFormat="1">
      <c r="P143" s="145"/>
    </row>
    <row r="144" spans="16:16" s="146" customFormat="1">
      <c r="P144" s="145"/>
    </row>
    <row r="145" spans="16:16" s="146" customFormat="1">
      <c r="P145" s="145"/>
    </row>
    <row r="146" spans="16:16" s="146" customFormat="1">
      <c r="P146" s="145"/>
    </row>
    <row r="147" spans="16:16" s="146" customFormat="1">
      <c r="P147" s="145"/>
    </row>
    <row r="148" spans="16:16" s="146" customFormat="1">
      <c r="P148" s="145"/>
    </row>
    <row r="149" spans="16:16" s="146" customFormat="1">
      <c r="P149" s="145"/>
    </row>
    <row r="150" spans="16:16" s="146" customFormat="1">
      <c r="P150" s="145"/>
    </row>
    <row r="151" spans="16:16" s="146" customFormat="1">
      <c r="P151" s="145"/>
    </row>
    <row r="152" spans="16:16" s="146" customFormat="1">
      <c r="P152" s="145"/>
    </row>
    <row r="153" spans="16:16" s="146" customFormat="1">
      <c r="P153" s="145"/>
    </row>
    <row r="154" spans="16:16" s="146" customFormat="1">
      <c r="P154" s="145"/>
    </row>
    <row r="155" spans="16:16" s="146" customFormat="1">
      <c r="P155" s="145"/>
    </row>
    <row r="156" spans="16:16" s="146" customFormat="1">
      <c r="P156" s="145"/>
    </row>
    <row r="157" spans="16:16" s="146" customFormat="1">
      <c r="P157" s="145"/>
    </row>
    <row r="158" spans="16:16" s="146" customFormat="1">
      <c r="P158" s="145"/>
    </row>
    <row r="159" spans="16:16" s="146" customFormat="1">
      <c r="P159" s="145"/>
    </row>
    <row r="160" spans="16:16" s="146" customFormat="1">
      <c r="P160" s="145"/>
    </row>
    <row r="161" spans="16:16" s="146" customFormat="1">
      <c r="P161" s="145"/>
    </row>
    <row r="162" spans="16:16" s="146" customFormat="1">
      <c r="P162" s="145"/>
    </row>
    <row r="163" spans="16:16" s="146" customFormat="1">
      <c r="P163" s="145"/>
    </row>
    <row r="164" spans="16:16" s="146" customFormat="1">
      <c r="P164" s="145"/>
    </row>
    <row r="165" spans="16:16" s="146" customFormat="1">
      <c r="P165" s="145"/>
    </row>
    <row r="166" spans="16:16" s="146" customFormat="1">
      <c r="P166" s="145"/>
    </row>
    <row r="167" spans="16:16" s="146" customFormat="1">
      <c r="P167" s="145"/>
    </row>
    <row r="168" spans="16:16" s="146" customFormat="1">
      <c r="P168" s="145"/>
    </row>
    <row r="169" spans="16:16" s="146" customFormat="1">
      <c r="P169" s="145"/>
    </row>
    <row r="170" spans="16:16" s="146" customFormat="1">
      <c r="P170" s="145"/>
    </row>
    <row r="171" spans="16:16" s="146" customFormat="1">
      <c r="P171" s="145"/>
    </row>
    <row r="172" spans="16:16" s="146" customFormat="1">
      <c r="P172" s="145"/>
    </row>
    <row r="173" spans="16:16" s="146" customFormat="1">
      <c r="P173" s="145"/>
    </row>
    <row r="174" spans="16:16" s="146" customFormat="1">
      <c r="P174" s="145"/>
    </row>
    <row r="175" spans="16:16" s="146" customFormat="1">
      <c r="P175" s="145"/>
    </row>
    <row r="176" spans="16:16" s="146" customFormat="1">
      <c r="P176" s="145"/>
    </row>
    <row r="177" spans="16:16" s="146" customFormat="1">
      <c r="P177" s="145"/>
    </row>
    <row r="178" spans="16:16" s="146" customFormat="1">
      <c r="P178" s="145"/>
    </row>
    <row r="179" spans="16:16" s="146" customFormat="1">
      <c r="P179" s="145"/>
    </row>
    <row r="180" spans="16:16" s="146" customFormat="1">
      <c r="P180" s="145"/>
    </row>
    <row r="181" spans="16:16" s="146" customFormat="1">
      <c r="P181" s="145"/>
    </row>
    <row r="182" spans="16:16" s="146" customFormat="1">
      <c r="P182" s="145"/>
    </row>
    <row r="183" spans="16:16" s="146" customFormat="1">
      <c r="P183" s="145"/>
    </row>
    <row r="184" spans="16:16" s="146" customFormat="1">
      <c r="P184" s="145"/>
    </row>
    <row r="185" spans="16:16" s="146" customFormat="1">
      <c r="P185" s="145"/>
    </row>
    <row r="186" spans="16:16" s="146" customFormat="1">
      <c r="P186" s="145"/>
    </row>
    <row r="187" spans="16:16" s="146" customFormat="1">
      <c r="P187" s="145"/>
    </row>
    <row r="188" spans="16:16" s="146" customFormat="1">
      <c r="P188" s="145"/>
    </row>
    <row r="189" spans="16:16" s="146" customFormat="1">
      <c r="P189" s="145"/>
    </row>
    <row r="190" spans="16:16" s="146" customFormat="1">
      <c r="P190" s="145"/>
    </row>
    <row r="191" spans="16:16" s="146" customFormat="1">
      <c r="P191" s="145"/>
    </row>
    <row r="192" spans="16:16" s="146" customFormat="1">
      <c r="P192" s="145"/>
    </row>
    <row r="193" spans="16:16" s="146" customFormat="1">
      <c r="P193" s="145"/>
    </row>
    <row r="194" spans="16:16" s="146" customFormat="1">
      <c r="P194" s="145"/>
    </row>
    <row r="195" spans="16:16" s="146" customFormat="1">
      <c r="P195" s="145"/>
    </row>
    <row r="196" spans="16:16" s="146" customFormat="1">
      <c r="P196" s="145"/>
    </row>
    <row r="197" spans="16:16" s="146" customFormat="1">
      <c r="P197" s="145"/>
    </row>
    <row r="198" spans="16:16" s="146" customFormat="1">
      <c r="P198" s="145"/>
    </row>
    <row r="199" spans="16:16" s="146" customFormat="1">
      <c r="P199" s="145"/>
    </row>
    <row r="200" spans="16:16" s="146" customFormat="1">
      <c r="P200" s="145"/>
    </row>
    <row r="201" spans="16:16" s="146" customFormat="1">
      <c r="P201" s="145"/>
    </row>
    <row r="202" spans="16:16" s="146" customFormat="1">
      <c r="P202" s="145"/>
    </row>
    <row r="203" spans="16:16" s="146" customFormat="1">
      <c r="P203" s="145"/>
    </row>
    <row r="204" spans="16:16" s="146" customFormat="1">
      <c r="P204" s="145"/>
    </row>
    <row r="205" spans="16:16" s="146" customFormat="1">
      <c r="P205" s="145"/>
    </row>
    <row r="206" spans="16:16" s="146" customFormat="1">
      <c r="P206" s="145"/>
    </row>
    <row r="207" spans="16:16" s="146" customFormat="1">
      <c r="P207" s="145"/>
    </row>
    <row r="208" spans="16:16" s="146" customFormat="1">
      <c r="P208" s="145"/>
    </row>
    <row r="209" spans="16:16" s="146" customFormat="1">
      <c r="P209" s="145"/>
    </row>
    <row r="210" spans="16:16" s="146" customFormat="1">
      <c r="P210" s="145"/>
    </row>
    <row r="211" spans="16:16" s="146" customFormat="1">
      <c r="P211" s="145"/>
    </row>
    <row r="212" spans="16:16" s="146" customFormat="1">
      <c r="P212" s="145"/>
    </row>
    <row r="213" spans="16:16" s="146" customFormat="1">
      <c r="P213" s="145"/>
    </row>
    <row r="214" spans="16:16" s="146" customFormat="1">
      <c r="P214" s="145"/>
    </row>
    <row r="215" spans="16:16" s="146" customFormat="1">
      <c r="P215" s="145"/>
    </row>
    <row r="216" spans="16:16" s="146" customFormat="1">
      <c r="P216" s="145"/>
    </row>
    <row r="217" spans="16:16" s="146" customFormat="1">
      <c r="P217" s="145"/>
    </row>
    <row r="218" spans="16:16" s="146" customFormat="1">
      <c r="P218" s="145"/>
    </row>
    <row r="219" spans="16:16" s="146" customFormat="1">
      <c r="P219" s="145"/>
    </row>
    <row r="220" spans="16:16" s="146" customFormat="1">
      <c r="P220" s="145"/>
    </row>
    <row r="221" spans="16:16" s="146" customFormat="1">
      <c r="P221" s="145"/>
    </row>
    <row r="222" spans="16:16" s="146" customFormat="1">
      <c r="P222" s="145"/>
    </row>
    <row r="223" spans="16:16" s="146" customFormat="1">
      <c r="P223" s="145"/>
    </row>
    <row r="224" spans="16:16" s="146" customFormat="1">
      <c r="P224" s="145"/>
    </row>
    <row r="225" spans="16:16" s="146" customFormat="1">
      <c r="P225" s="145"/>
    </row>
    <row r="226" spans="16:16" s="146" customFormat="1">
      <c r="P226" s="145"/>
    </row>
    <row r="227" spans="16:16" s="146" customFormat="1">
      <c r="P227" s="145"/>
    </row>
    <row r="228" spans="16:16" s="146" customFormat="1">
      <c r="P228" s="145"/>
    </row>
    <row r="229" spans="16:16" s="146" customFormat="1">
      <c r="P229" s="145"/>
    </row>
    <row r="230" spans="16:16" s="146" customFormat="1">
      <c r="P230" s="145"/>
    </row>
    <row r="231" spans="16:16" s="146" customFormat="1">
      <c r="P231" s="145"/>
    </row>
    <row r="232" spans="16:16" s="146" customFormat="1">
      <c r="P232" s="145"/>
    </row>
    <row r="233" spans="16:16" s="146" customFormat="1">
      <c r="P233" s="145"/>
    </row>
    <row r="234" spans="16:16" s="146" customFormat="1">
      <c r="P234" s="145"/>
    </row>
    <row r="235" spans="16:16" s="146" customFormat="1">
      <c r="P235" s="145"/>
    </row>
    <row r="236" spans="16:16" s="146" customFormat="1">
      <c r="P236" s="145"/>
    </row>
    <row r="237" spans="16:16" s="146" customFormat="1">
      <c r="P237" s="145"/>
    </row>
    <row r="238" spans="16:16" s="146" customFormat="1">
      <c r="P238" s="145"/>
    </row>
    <row r="239" spans="16:16" s="146" customFormat="1">
      <c r="P239" s="145"/>
    </row>
    <row r="240" spans="16:16" s="146" customFormat="1">
      <c r="P240" s="145"/>
    </row>
    <row r="241" spans="16:16" s="146" customFormat="1">
      <c r="P241" s="145"/>
    </row>
    <row r="242" spans="16:16" s="146" customFormat="1">
      <c r="P242" s="145"/>
    </row>
    <row r="243" spans="16:16" s="146" customFormat="1">
      <c r="P243" s="145"/>
    </row>
    <row r="244" spans="16:16" s="146" customFormat="1">
      <c r="P244" s="145"/>
    </row>
    <row r="245" spans="16:16" s="146" customFormat="1">
      <c r="P245" s="145"/>
    </row>
    <row r="246" spans="16:16" s="146" customFormat="1">
      <c r="P246" s="145"/>
    </row>
    <row r="247" spans="16:16" s="146" customFormat="1">
      <c r="P247" s="145"/>
    </row>
    <row r="248" spans="16:16" s="146" customFormat="1">
      <c r="P248" s="145"/>
    </row>
    <row r="249" spans="16:16" s="146" customFormat="1">
      <c r="P249" s="145"/>
    </row>
    <row r="250" spans="16:16" s="146" customFormat="1">
      <c r="P250" s="145"/>
    </row>
    <row r="251" spans="16:16" s="146" customFormat="1">
      <c r="P251" s="145"/>
    </row>
    <row r="252" spans="16:16" s="146" customFormat="1">
      <c r="P252" s="145"/>
    </row>
    <row r="253" spans="16:16" s="146" customFormat="1">
      <c r="P253" s="145"/>
    </row>
    <row r="254" spans="16:16" s="146" customFormat="1">
      <c r="P254" s="145"/>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3" fitToHeight="0" orientation="portrait" r:id="rId1"/>
  <headerFooter>
    <oddHeader>&amp;A</oddHeader>
  </headerFooter>
  <ignoredErrors>
    <ignoredError sqref="AN13:AO1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F594"/>
  <sheetViews>
    <sheetView view="pageBreakPreview" topLeftCell="A4" zoomScaleNormal="100" zoomScaleSheetLayoutView="100" workbookViewId="0">
      <pane xSplit="1" topLeftCell="B1" activePane="topRight" state="frozen"/>
      <selection pane="topRight" activeCell="AK17" sqref="AK17"/>
    </sheetView>
  </sheetViews>
  <sheetFormatPr defaultRowHeight="12.75" outlineLevelCol="1"/>
  <cols>
    <col min="1" max="1" width="48.7109375" style="2" customWidth="1"/>
    <col min="2" max="2" width="52" style="2" customWidth="1"/>
    <col min="3" max="3" width="2.42578125" style="2" hidden="1" customWidth="1"/>
    <col min="4" max="35" width="15.7109375" style="2" hidden="1" customWidth="1" outlineLevel="1"/>
    <col min="36" max="36" width="15.7109375" style="2" customWidth="1" collapsed="1"/>
    <col min="37" max="39" width="15.7109375" style="2" customWidth="1"/>
    <col min="40" max="84" width="9.140625" style="146"/>
    <col min="85" max="16384" width="9.140625" style="2"/>
  </cols>
  <sheetData>
    <row r="1" spans="1:84" ht="20.25" customHeight="1">
      <c r="A1" s="660" t="s">
        <v>788</v>
      </c>
      <c r="B1" s="849" t="s">
        <v>789</v>
      </c>
      <c r="C1" s="1309"/>
      <c r="D1" s="519"/>
      <c r="E1" s="519"/>
      <c r="F1" s="519"/>
      <c r="G1" s="519"/>
      <c r="H1" s="519"/>
      <c r="I1" s="519"/>
      <c r="J1" s="519"/>
      <c r="K1" s="519"/>
      <c r="L1" s="519"/>
      <c r="M1" s="519"/>
      <c r="N1" s="519"/>
      <c r="O1" s="519"/>
      <c r="P1" s="390"/>
      <c r="Q1" s="390"/>
      <c r="R1" s="390"/>
      <c r="S1" s="390"/>
      <c r="T1" s="390"/>
      <c r="U1" s="390"/>
      <c r="V1" s="390"/>
      <c r="W1" s="391"/>
      <c r="X1" s="519"/>
      <c r="Y1" s="519"/>
      <c r="Z1" s="519"/>
      <c r="AA1" s="519"/>
      <c r="AB1" s="519"/>
      <c r="AC1" s="519"/>
      <c r="AD1" s="519"/>
      <c r="AE1" s="519"/>
      <c r="AF1" s="519"/>
      <c r="AG1" s="519"/>
      <c r="AH1" s="519"/>
      <c r="AI1" s="519"/>
      <c r="AJ1" s="519"/>
      <c r="AK1" s="519"/>
      <c r="AL1" s="519"/>
      <c r="AM1" s="392" t="s">
        <v>800</v>
      </c>
    </row>
    <row r="2" spans="1:84" ht="15">
      <c r="A2" s="16"/>
      <c r="B2" s="516"/>
      <c r="C2" s="516"/>
      <c r="D2" s="519"/>
      <c r="E2" s="519"/>
      <c r="F2" s="519"/>
      <c r="G2" s="519"/>
      <c r="H2" s="519"/>
      <c r="I2" s="519"/>
      <c r="J2" s="519"/>
      <c r="K2" s="519"/>
      <c r="L2" s="519"/>
      <c r="M2" s="519"/>
      <c r="N2" s="519"/>
      <c r="O2" s="519"/>
      <c r="P2" s="390" t="s">
        <v>108</v>
      </c>
      <c r="Q2" s="390" t="s">
        <v>108</v>
      </c>
      <c r="R2" s="390" t="s">
        <v>108</v>
      </c>
      <c r="S2" s="390" t="s">
        <v>108</v>
      </c>
      <c r="T2" s="390" t="s">
        <v>108</v>
      </c>
      <c r="U2" s="390" t="s">
        <v>108</v>
      </c>
      <c r="V2" s="390" t="s">
        <v>108</v>
      </c>
      <c r="W2" s="391"/>
      <c r="X2" s="519"/>
      <c r="Y2" s="519"/>
      <c r="Z2" s="519"/>
      <c r="AA2" s="519"/>
      <c r="AB2" s="519"/>
      <c r="AC2" s="519"/>
      <c r="AD2" s="519"/>
      <c r="AE2" s="519"/>
      <c r="AF2" s="519"/>
      <c r="AG2" s="519"/>
      <c r="AH2" s="519"/>
      <c r="AI2" s="519"/>
      <c r="AJ2" s="519"/>
      <c r="AK2" s="519"/>
      <c r="AL2" s="519"/>
      <c r="AM2" s="392" t="s">
        <v>801</v>
      </c>
    </row>
    <row r="3" spans="1:84" ht="12.75" customHeight="1" thickBot="1">
      <c r="A3" s="519"/>
      <c r="B3" s="519"/>
      <c r="C3" s="519"/>
      <c r="D3" s="519"/>
      <c r="E3" s="519"/>
      <c r="F3" s="519"/>
      <c r="G3" s="519"/>
      <c r="H3" s="519"/>
      <c r="I3" s="519"/>
      <c r="J3" s="519"/>
      <c r="K3" s="519"/>
      <c r="L3" s="519"/>
      <c r="M3" s="519"/>
      <c r="N3" s="519"/>
      <c r="O3" s="519"/>
      <c r="P3" s="390" t="s">
        <v>109</v>
      </c>
      <c r="Q3" s="390" t="s">
        <v>109</v>
      </c>
      <c r="R3" s="390" t="s">
        <v>109</v>
      </c>
      <c r="S3" s="390" t="s">
        <v>109</v>
      </c>
      <c r="T3" s="390" t="s">
        <v>109</v>
      </c>
      <c r="U3" s="390" t="s">
        <v>109</v>
      </c>
      <c r="V3" s="390" t="s">
        <v>109</v>
      </c>
      <c r="W3" s="391"/>
      <c r="X3" s="519"/>
      <c r="Y3" s="519"/>
      <c r="Z3" s="519"/>
      <c r="AA3" s="519"/>
      <c r="AB3" s="519"/>
      <c r="AC3" s="519"/>
      <c r="AD3" s="519"/>
      <c r="AE3" s="519"/>
      <c r="AF3" s="519"/>
      <c r="AG3" s="519"/>
      <c r="AH3" s="519"/>
      <c r="AI3" s="519"/>
      <c r="AJ3" s="519"/>
      <c r="AK3" s="519"/>
      <c r="AL3" s="519"/>
      <c r="AM3" s="519"/>
    </row>
    <row r="4" spans="1:84" s="117" customFormat="1" ht="19.5" customHeight="1" thickBot="1">
      <c r="A4" s="343" t="s">
        <v>365</v>
      </c>
      <c r="B4" s="305" t="s">
        <v>182</v>
      </c>
      <c r="C4" s="305"/>
      <c r="D4" s="794" t="s">
        <v>304</v>
      </c>
      <c r="E4" s="794" t="s">
        <v>303</v>
      </c>
      <c r="F4" s="794" t="s">
        <v>302</v>
      </c>
      <c r="G4" s="794" t="s">
        <v>301</v>
      </c>
      <c r="H4" s="794" t="s">
        <v>297</v>
      </c>
      <c r="I4" s="794" t="s">
        <v>298</v>
      </c>
      <c r="J4" s="794" t="s">
        <v>299</v>
      </c>
      <c r="K4" s="794" t="s">
        <v>300</v>
      </c>
      <c r="L4" s="794" t="s">
        <v>296</v>
      </c>
      <c r="M4" s="794" t="s">
        <v>295</v>
      </c>
      <c r="N4" s="794" t="s">
        <v>294</v>
      </c>
      <c r="O4" s="794" t="s">
        <v>293</v>
      </c>
      <c r="P4" s="794" t="s">
        <v>292</v>
      </c>
      <c r="Q4" s="794" t="s">
        <v>291</v>
      </c>
      <c r="R4" s="794" t="s">
        <v>290</v>
      </c>
      <c r="S4" s="794" t="s">
        <v>289</v>
      </c>
      <c r="T4" s="794" t="s">
        <v>288</v>
      </c>
      <c r="U4" s="794" t="s">
        <v>287</v>
      </c>
      <c r="V4" s="794" t="s">
        <v>286</v>
      </c>
      <c r="W4" s="870" t="s">
        <v>285</v>
      </c>
      <c r="X4" s="870" t="s">
        <v>281</v>
      </c>
      <c r="Y4" s="870" t="s">
        <v>282</v>
      </c>
      <c r="Z4" s="870" t="s">
        <v>283</v>
      </c>
      <c r="AA4" s="870" t="s">
        <v>284</v>
      </c>
      <c r="AB4" s="870" t="s">
        <v>277</v>
      </c>
      <c r="AC4" s="870" t="s">
        <v>278</v>
      </c>
      <c r="AD4" s="870" t="s">
        <v>279</v>
      </c>
      <c r="AE4" s="870" t="s">
        <v>280</v>
      </c>
      <c r="AF4" s="870" t="s">
        <v>274</v>
      </c>
      <c r="AG4" s="870" t="s">
        <v>275</v>
      </c>
      <c r="AH4" s="870" t="s">
        <v>276</v>
      </c>
      <c r="AI4" s="870" t="s">
        <v>256</v>
      </c>
      <c r="AJ4" s="870" t="s">
        <v>273</v>
      </c>
      <c r="AK4" s="870" t="s">
        <v>272</v>
      </c>
      <c r="AL4" s="870" t="s">
        <v>255</v>
      </c>
      <c r="AM4" s="870" t="s">
        <v>271</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row>
    <row r="5" spans="1:84" s="40" customFormat="1" ht="13.5">
      <c r="A5" s="867"/>
      <c r="B5" s="868"/>
      <c r="C5" s="868"/>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row>
    <row r="6" spans="1:84" s="40" customFormat="1" ht="20.100000000000001" customHeight="1">
      <c r="A6" s="856" t="s">
        <v>333</v>
      </c>
      <c r="B6" s="857" t="s">
        <v>705</v>
      </c>
      <c r="C6" s="857"/>
      <c r="D6" s="854">
        <f t="shared" ref="D6:AM6" si="0">SUM(D7:D10)</f>
        <v>109830.414</v>
      </c>
      <c r="E6" s="854">
        <f t="shared" si="0"/>
        <v>111255.655</v>
      </c>
      <c r="F6" s="854">
        <f t="shared" si="0"/>
        <v>115348.24399999999</v>
      </c>
      <c r="G6" s="854">
        <f t="shared" si="0"/>
        <v>120509.70899999999</v>
      </c>
      <c r="H6" s="854">
        <f t="shared" si="0"/>
        <v>122254.51</v>
      </c>
      <c r="I6" s="854">
        <f t="shared" si="0"/>
        <v>129190.68</v>
      </c>
      <c r="J6" s="854">
        <f t="shared" si="0"/>
        <v>131531.40399999998</v>
      </c>
      <c r="K6" s="854">
        <f t="shared" si="0"/>
        <v>135524.78899999999</v>
      </c>
      <c r="L6" s="854">
        <f t="shared" si="0"/>
        <v>137653.014</v>
      </c>
      <c r="M6" s="854">
        <f t="shared" si="0"/>
        <v>140970.476</v>
      </c>
      <c r="N6" s="854">
        <f t="shared" si="0"/>
        <v>145339.52599999998</v>
      </c>
      <c r="O6" s="854">
        <f t="shared" si="0"/>
        <v>147187.497</v>
      </c>
      <c r="P6" s="854">
        <f t="shared" si="0"/>
        <v>145742.29199999999</v>
      </c>
      <c r="Q6" s="854">
        <f t="shared" si="0"/>
        <v>146842.163</v>
      </c>
      <c r="R6" s="854">
        <f t="shared" si="0"/>
        <v>147037.64000000001</v>
      </c>
      <c r="S6" s="854">
        <f t="shared" si="0"/>
        <v>148181.22399999999</v>
      </c>
      <c r="T6" s="854">
        <f t="shared" si="0"/>
        <v>151226.86000000002</v>
      </c>
      <c r="U6" s="854">
        <f t="shared" si="0"/>
        <v>153497.16300000003</v>
      </c>
      <c r="V6" s="854">
        <f t="shared" si="0"/>
        <v>153008.64300000001</v>
      </c>
      <c r="W6" s="854">
        <f t="shared" si="0"/>
        <v>152312.94900000002</v>
      </c>
      <c r="X6" s="854">
        <f t="shared" si="0"/>
        <v>154187.41099999999</v>
      </c>
      <c r="Y6" s="854">
        <f t="shared" si="0"/>
        <v>179550.90900000001</v>
      </c>
      <c r="Z6" s="854">
        <f t="shared" si="0"/>
        <v>180456.60200000001</v>
      </c>
      <c r="AA6" s="854">
        <f t="shared" si="0"/>
        <v>182277.52900000001</v>
      </c>
      <c r="AB6" s="854">
        <f t="shared" si="0"/>
        <v>185385.88999999998</v>
      </c>
      <c r="AC6" s="854">
        <f t="shared" si="0"/>
        <v>187923.37300000002</v>
      </c>
      <c r="AD6" s="854">
        <f t="shared" si="0"/>
        <v>188108.07</v>
      </c>
      <c r="AE6" s="854">
        <f t="shared" si="0"/>
        <v>183176.10499999998</v>
      </c>
      <c r="AF6" s="854">
        <f t="shared" si="0"/>
        <v>184344.98500000002</v>
      </c>
      <c r="AG6" s="854">
        <f t="shared" si="0"/>
        <v>187383.99400000001</v>
      </c>
      <c r="AH6" s="854">
        <f t="shared" si="0"/>
        <v>188395.94699999999</v>
      </c>
      <c r="AI6" s="854">
        <f t="shared" si="0"/>
        <v>189736</v>
      </c>
      <c r="AJ6" s="854">
        <f t="shared" si="0"/>
        <v>190020</v>
      </c>
      <c r="AK6" s="854">
        <f t="shared" si="0"/>
        <v>195064</v>
      </c>
      <c r="AL6" s="854">
        <f t="shared" si="0"/>
        <v>195808</v>
      </c>
      <c r="AM6" s="854">
        <f t="shared" si="0"/>
        <v>194936</v>
      </c>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row>
    <row r="7" spans="1:84" ht="20.100000000000001" customHeight="1">
      <c r="A7" s="858" t="s">
        <v>370</v>
      </c>
      <c r="B7" s="859" t="s">
        <v>523</v>
      </c>
      <c r="C7" s="859"/>
      <c r="D7" s="535">
        <v>48766.428</v>
      </c>
      <c r="E7" s="535">
        <v>48849.697</v>
      </c>
      <c r="F7" s="535">
        <v>50266.455000000002</v>
      </c>
      <c r="G7" s="535">
        <v>52471.695</v>
      </c>
      <c r="H7" s="535">
        <v>53334.974000000002</v>
      </c>
      <c r="I7" s="535">
        <v>57992.902000000002</v>
      </c>
      <c r="J7" s="535">
        <v>59290.925999999999</v>
      </c>
      <c r="K7" s="535">
        <v>62441.248</v>
      </c>
      <c r="L7" s="535">
        <v>62897.883000000002</v>
      </c>
      <c r="M7" s="535">
        <v>65943.608999999997</v>
      </c>
      <c r="N7" s="535">
        <v>69709.868000000002</v>
      </c>
      <c r="O7" s="535">
        <v>71156.252999999997</v>
      </c>
      <c r="P7" s="535">
        <f>69680.053-140.16-6.471</f>
        <v>69533.421999999991</v>
      </c>
      <c r="Q7" s="535">
        <f>70805.066-138.793-7.268</f>
        <v>70659.005000000005</v>
      </c>
      <c r="R7" s="535">
        <f>71167.903-137.747-8.065</f>
        <v>71022.091</v>
      </c>
      <c r="S7" s="535">
        <v>72133.796000000002</v>
      </c>
      <c r="T7" s="535">
        <v>73235.971000000005</v>
      </c>
      <c r="U7" s="535">
        <v>74938.062000000005</v>
      </c>
      <c r="V7" s="535">
        <v>75740.448000000004</v>
      </c>
      <c r="W7" s="535">
        <v>76631.478000000003</v>
      </c>
      <c r="X7" s="535">
        <v>77904.195000000007</v>
      </c>
      <c r="Y7" s="535">
        <v>97470.9</v>
      </c>
      <c r="Z7" s="535">
        <v>99098.963000000003</v>
      </c>
      <c r="AA7" s="535">
        <v>98105.676000000007</v>
      </c>
      <c r="AB7" s="535">
        <v>100971.40399999999</v>
      </c>
      <c r="AC7" s="535">
        <v>102592.447</v>
      </c>
      <c r="AD7" s="535">
        <v>101858.55899999999</v>
      </c>
      <c r="AE7" s="535">
        <v>103005.81200000001</v>
      </c>
      <c r="AF7" s="535">
        <v>102984.693</v>
      </c>
      <c r="AG7" s="535">
        <v>105734.433</v>
      </c>
      <c r="AH7" s="535">
        <v>106058.51300000001</v>
      </c>
      <c r="AI7" s="535">
        <v>108321</v>
      </c>
      <c r="AJ7" s="535">
        <v>107641</v>
      </c>
      <c r="AK7" s="535">
        <v>108045</v>
      </c>
      <c r="AL7" s="535">
        <v>108730</v>
      </c>
      <c r="AM7" s="535">
        <v>108163</v>
      </c>
    </row>
    <row r="8" spans="1:84" ht="28.5" customHeight="1">
      <c r="A8" s="858" t="s">
        <v>524</v>
      </c>
      <c r="B8" s="860" t="s">
        <v>712</v>
      </c>
      <c r="C8" s="860"/>
      <c r="D8" s="535">
        <v>39431.321000000004</v>
      </c>
      <c r="E8" s="535">
        <v>40057.548000000003</v>
      </c>
      <c r="F8" s="535">
        <v>41631.618999999999</v>
      </c>
      <c r="G8" s="535">
        <v>43990.773000000001</v>
      </c>
      <c r="H8" s="535">
        <v>44161.127999999997</v>
      </c>
      <c r="I8" s="535">
        <v>45811.677000000003</v>
      </c>
      <c r="J8" s="535">
        <v>46052.813999999998</v>
      </c>
      <c r="K8" s="535">
        <v>46912.413</v>
      </c>
      <c r="L8" s="535">
        <v>48761.447</v>
      </c>
      <c r="M8" s="535">
        <v>49240.523000000001</v>
      </c>
      <c r="N8" s="535">
        <v>49884.733</v>
      </c>
      <c r="O8" s="535">
        <f>1252.368+45480.936+5066.429-11.341-93.899</f>
        <v>51694.493000000009</v>
      </c>
      <c r="P8" s="535">
        <f>5193.307+45817.464+1749.525-779.991-10.368</f>
        <v>51969.936999999998</v>
      </c>
      <c r="Q8" s="535">
        <f>1005.385-9.876+46307.375-108.446+5221.534</f>
        <v>52415.971999999994</v>
      </c>
      <c r="R8" s="535">
        <f>928.552+47560.648+5351.705-21.25-304.336</f>
        <v>53515.319000000003</v>
      </c>
      <c r="S8" s="535">
        <v>54279.885999999999</v>
      </c>
      <c r="T8" s="535">
        <v>56947.332999999999</v>
      </c>
      <c r="U8" s="535">
        <v>57676.523000000001</v>
      </c>
      <c r="V8" s="535">
        <v>56538.677000000003</v>
      </c>
      <c r="W8" s="535">
        <v>55054.248999999996</v>
      </c>
      <c r="X8" s="535">
        <v>55979.377999999997</v>
      </c>
      <c r="Y8" s="535">
        <v>61124.692000000003</v>
      </c>
      <c r="Z8" s="535">
        <v>59819.122000000003</v>
      </c>
      <c r="AA8" s="535">
        <v>62527.228000000003</v>
      </c>
      <c r="AB8" s="535">
        <v>62718.313999999998</v>
      </c>
      <c r="AC8" s="535">
        <v>62991.411</v>
      </c>
      <c r="AD8" s="535">
        <v>62773.421999999999</v>
      </c>
      <c r="AE8" s="535">
        <v>56641.147999999986</v>
      </c>
      <c r="AF8" s="535">
        <v>57763.582999999999</v>
      </c>
      <c r="AG8" s="535">
        <v>57403.233</v>
      </c>
      <c r="AH8" s="535">
        <v>57899.017</v>
      </c>
      <c r="AI8" s="535">
        <v>56722</v>
      </c>
      <c r="AJ8" s="535">
        <v>57483</v>
      </c>
      <c r="AK8" s="535">
        <v>61460</v>
      </c>
      <c r="AL8" s="535">
        <v>60828</v>
      </c>
      <c r="AM8" s="535">
        <v>60497</v>
      </c>
    </row>
    <row r="9" spans="1:84" ht="20.100000000000001" customHeight="1">
      <c r="A9" s="861" t="s">
        <v>372</v>
      </c>
      <c r="B9" s="862" t="s">
        <v>522</v>
      </c>
      <c r="C9" s="862"/>
      <c r="D9" s="863">
        <v>21117.883999999998</v>
      </c>
      <c r="E9" s="863">
        <v>21847.397000000001</v>
      </c>
      <c r="F9" s="863">
        <v>22933.061000000002</v>
      </c>
      <c r="G9" s="863">
        <v>23483.449000000001</v>
      </c>
      <c r="H9" s="863">
        <v>24168.866999999998</v>
      </c>
      <c r="I9" s="863">
        <v>24763.018</v>
      </c>
      <c r="J9" s="863">
        <v>25519.778999999999</v>
      </c>
      <c r="K9" s="863">
        <v>25446.264999999999</v>
      </c>
      <c r="L9" s="863">
        <v>25222.058000000001</v>
      </c>
      <c r="M9" s="863">
        <v>24975.346000000001</v>
      </c>
      <c r="N9" s="863">
        <v>24836.356</v>
      </c>
      <c r="O9" s="863">
        <v>24336.751</v>
      </c>
      <c r="P9" s="863">
        <f>23372.147-237.313</f>
        <v>23134.834000000003</v>
      </c>
      <c r="Q9" s="863">
        <f>22859.393-241.674</f>
        <v>22617.719000000001</v>
      </c>
      <c r="R9" s="863">
        <f>22744.893-244.663</f>
        <v>22500.23</v>
      </c>
      <c r="S9" s="863">
        <v>21767.542000000001</v>
      </c>
      <c r="T9" s="863">
        <v>21043.556</v>
      </c>
      <c r="U9" s="863">
        <v>20882.578000000001</v>
      </c>
      <c r="V9" s="863">
        <v>20729.518</v>
      </c>
      <c r="W9" s="863">
        <v>20627.222000000002</v>
      </c>
      <c r="X9" s="863">
        <v>20303.838</v>
      </c>
      <c r="Y9" s="863">
        <v>20955.316999999999</v>
      </c>
      <c r="Z9" s="863">
        <v>21538.517</v>
      </c>
      <c r="AA9" s="863">
        <v>21644.625</v>
      </c>
      <c r="AB9" s="863">
        <v>21696.171999999999</v>
      </c>
      <c r="AC9" s="863">
        <v>22339.514999999999</v>
      </c>
      <c r="AD9" s="863">
        <v>23476.089</v>
      </c>
      <c r="AE9" s="863">
        <v>23529.145</v>
      </c>
      <c r="AF9" s="863">
        <v>23596.708999999999</v>
      </c>
      <c r="AG9" s="863">
        <v>24246.328000000001</v>
      </c>
      <c r="AH9" s="863">
        <v>24438.417000000001</v>
      </c>
      <c r="AI9" s="863">
        <v>24693</v>
      </c>
      <c r="AJ9" s="863">
        <v>24896</v>
      </c>
      <c r="AK9" s="863">
        <v>25559</v>
      </c>
      <c r="AL9" s="863">
        <v>26250</v>
      </c>
      <c r="AM9" s="863">
        <v>26276</v>
      </c>
    </row>
    <row r="10" spans="1:84" ht="20.100000000000001" customHeight="1">
      <c r="A10" s="861" t="s">
        <v>738</v>
      </c>
      <c r="B10" s="862" t="s">
        <v>739</v>
      </c>
      <c r="C10" s="862"/>
      <c r="D10" s="863">
        <v>514.78099999999995</v>
      </c>
      <c r="E10" s="863">
        <v>501.01299999999998</v>
      </c>
      <c r="F10" s="863">
        <v>517.10900000000004</v>
      </c>
      <c r="G10" s="863">
        <v>563.79200000000003</v>
      </c>
      <c r="H10" s="863">
        <v>589.54100000000005</v>
      </c>
      <c r="I10" s="863">
        <v>623.08299999999997</v>
      </c>
      <c r="J10" s="863">
        <v>667.88499999999999</v>
      </c>
      <c r="K10" s="863">
        <v>724.86300000000006</v>
      </c>
      <c r="L10" s="863">
        <v>771.62599999999998</v>
      </c>
      <c r="M10" s="863">
        <v>810.99800000000005</v>
      </c>
      <c r="N10" s="863">
        <v>908.56899999999996</v>
      </c>
      <c r="O10" s="863"/>
      <c r="P10" s="863">
        <v>1104.0989999999999</v>
      </c>
      <c r="Q10" s="863">
        <v>1149.4670000000001</v>
      </c>
      <c r="R10" s="709"/>
      <c r="S10" s="709"/>
      <c r="T10" s="709"/>
      <c r="U10" s="709"/>
      <c r="V10" s="709"/>
      <c r="W10" s="709"/>
      <c r="X10" s="709"/>
      <c r="Y10" s="709"/>
      <c r="Z10" s="709"/>
      <c r="AA10" s="709"/>
      <c r="AB10" s="709"/>
      <c r="AC10" s="709"/>
      <c r="AD10" s="709"/>
      <c r="AE10" s="709"/>
      <c r="AF10" s="709"/>
      <c r="AG10" s="709"/>
      <c r="AH10" s="709"/>
      <c r="AI10" s="709"/>
      <c r="AJ10" s="709"/>
      <c r="AK10" s="709"/>
      <c r="AL10" s="709"/>
      <c r="AM10" s="709"/>
    </row>
    <row r="11" spans="1:84" s="40" customFormat="1" ht="20.100000000000001" customHeight="1">
      <c r="A11" s="441" t="s">
        <v>376</v>
      </c>
      <c r="B11" s="732" t="s">
        <v>385</v>
      </c>
      <c r="C11" s="732"/>
      <c r="D11" s="803"/>
      <c r="E11" s="803"/>
      <c r="F11" s="803"/>
      <c r="G11" s="803"/>
      <c r="H11" s="803"/>
      <c r="I11" s="803"/>
      <c r="J11" s="803"/>
      <c r="K11" s="803"/>
      <c r="L11" s="803"/>
      <c r="M11" s="803"/>
      <c r="N11" s="803"/>
      <c r="O11" s="803"/>
      <c r="P11" s="803"/>
      <c r="Q11" s="803"/>
      <c r="R11" s="712">
        <f>R12+R13</f>
        <v>1426.4739999999999</v>
      </c>
      <c r="S11" s="712">
        <v>2078.107</v>
      </c>
      <c r="T11" s="712">
        <v>2099.6999999999998</v>
      </c>
      <c r="U11" s="712">
        <v>2072.0360000000001</v>
      </c>
      <c r="V11" s="712">
        <v>1973.182</v>
      </c>
      <c r="W11" s="712">
        <v>1817.0050000000001</v>
      </c>
      <c r="X11" s="712">
        <v>1828.943</v>
      </c>
      <c r="Y11" s="712">
        <v>4682.3329999999996</v>
      </c>
      <c r="Z11" s="712">
        <v>5383.6670000000004</v>
      </c>
      <c r="AA11" s="712">
        <v>4931.4799999999996</v>
      </c>
      <c r="AB11" s="712">
        <v>4938.6409999999996</v>
      </c>
      <c r="AC11" s="712">
        <v>4884.8330000000005</v>
      </c>
      <c r="AD11" s="712">
        <v>5378.451</v>
      </c>
      <c r="AE11" s="712">
        <v>5356.2440000000006</v>
      </c>
      <c r="AF11" s="712">
        <v>5123.5390000000007</v>
      </c>
      <c r="AG11" s="712">
        <v>5134.9120000000003</v>
      </c>
      <c r="AH11" s="712">
        <v>5027.6550000000007</v>
      </c>
      <c r="AI11" s="712">
        <v>4948</v>
      </c>
      <c r="AJ11" s="712">
        <v>5084</v>
      </c>
      <c r="AK11" s="712">
        <v>4951</v>
      </c>
      <c r="AL11" s="712">
        <v>4804</v>
      </c>
      <c r="AM11" s="712">
        <v>4378</v>
      </c>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row>
    <row r="12" spans="1:84" ht="20.100000000000001" customHeight="1">
      <c r="A12" s="858" t="s">
        <v>513</v>
      </c>
      <c r="B12" s="859" t="s">
        <v>708</v>
      </c>
      <c r="C12" s="859"/>
      <c r="D12" s="709"/>
      <c r="E12" s="709"/>
      <c r="F12" s="709"/>
      <c r="G12" s="709"/>
      <c r="H12" s="709"/>
      <c r="I12" s="709"/>
      <c r="J12" s="709"/>
      <c r="K12" s="709"/>
      <c r="L12" s="709"/>
      <c r="M12" s="709"/>
      <c r="N12" s="709"/>
      <c r="O12" s="803"/>
      <c r="P12" s="803"/>
      <c r="Q12" s="803"/>
      <c r="R12" s="533">
        <v>630.86699999999996</v>
      </c>
      <c r="S12" s="533">
        <v>903.06799999999998</v>
      </c>
      <c r="T12" s="533">
        <v>919.62199999999996</v>
      </c>
      <c r="U12" s="533">
        <v>908.85</v>
      </c>
      <c r="V12" s="533">
        <v>836.28899999999999</v>
      </c>
      <c r="W12" s="533">
        <v>838.846</v>
      </c>
      <c r="X12" s="533">
        <v>847.67499999999995</v>
      </c>
      <c r="Y12" s="533">
        <v>1905.847</v>
      </c>
      <c r="Z12" s="533">
        <v>2526.5500000000002</v>
      </c>
      <c r="AA12" s="533">
        <v>2108.9810000000002</v>
      </c>
      <c r="AB12" s="533">
        <v>2065.6930000000002</v>
      </c>
      <c r="AC12" s="533">
        <v>2048.299</v>
      </c>
      <c r="AD12" s="533">
        <v>2565.7719999999999</v>
      </c>
      <c r="AE12" s="533">
        <v>2660.873</v>
      </c>
      <c r="AF12" s="533">
        <v>2437.163</v>
      </c>
      <c r="AG12" s="533">
        <v>2484.0529999999999</v>
      </c>
      <c r="AH12" s="533">
        <v>2392.4870000000001</v>
      </c>
      <c r="AI12" s="533">
        <v>2352</v>
      </c>
      <c r="AJ12" s="533">
        <v>2503</v>
      </c>
      <c r="AK12" s="533">
        <v>2422</v>
      </c>
      <c r="AL12" s="533">
        <v>2296</v>
      </c>
      <c r="AM12" s="533">
        <v>1859</v>
      </c>
    </row>
    <row r="13" spans="1:84" ht="20.100000000000001" customHeight="1">
      <c r="A13" s="861" t="s">
        <v>514</v>
      </c>
      <c r="B13" s="859" t="s">
        <v>709</v>
      </c>
      <c r="C13" s="859"/>
      <c r="D13" s="709"/>
      <c r="E13" s="709"/>
      <c r="F13" s="709"/>
      <c r="G13" s="709"/>
      <c r="H13" s="709"/>
      <c r="I13" s="709"/>
      <c r="J13" s="709"/>
      <c r="K13" s="709"/>
      <c r="L13" s="709"/>
      <c r="M13" s="709"/>
      <c r="N13" s="709"/>
      <c r="O13" s="803"/>
      <c r="P13" s="803"/>
      <c r="Q13" s="803"/>
      <c r="R13" s="533">
        <v>795.60699999999997</v>
      </c>
      <c r="S13" s="533">
        <v>1175.039</v>
      </c>
      <c r="T13" s="533">
        <v>1180.078</v>
      </c>
      <c r="U13" s="533">
        <v>1163.1859999999999</v>
      </c>
      <c r="V13" s="533">
        <v>1136.893</v>
      </c>
      <c r="W13" s="533">
        <v>978.15899999999999</v>
      </c>
      <c r="X13" s="533">
        <v>981.26800000000003</v>
      </c>
      <c r="Y13" s="533">
        <v>2776.4859999999999</v>
      </c>
      <c r="Z13" s="533">
        <v>2857.1170000000002</v>
      </c>
      <c r="AA13" s="533">
        <v>2822.4989999999998</v>
      </c>
      <c r="AB13" s="533">
        <v>2872.9479999999999</v>
      </c>
      <c r="AC13" s="533">
        <v>2836.5340000000001</v>
      </c>
      <c r="AD13" s="533">
        <v>2812.6790000000001</v>
      </c>
      <c r="AE13" s="533">
        <v>2695.3710000000001</v>
      </c>
      <c r="AF13" s="533">
        <v>2686.3760000000002</v>
      </c>
      <c r="AG13" s="533">
        <v>2650.8589999999999</v>
      </c>
      <c r="AH13" s="533">
        <v>2635.1680000000001</v>
      </c>
      <c r="AI13" s="533">
        <v>2596</v>
      </c>
      <c r="AJ13" s="533">
        <v>2581</v>
      </c>
      <c r="AK13" s="533">
        <v>2529</v>
      </c>
      <c r="AL13" s="533">
        <v>2508</v>
      </c>
      <c r="AM13" s="533">
        <v>2519</v>
      </c>
    </row>
    <row r="14" spans="1:84" s="40" customFormat="1" ht="20.100000000000001" customHeight="1">
      <c r="A14" s="865" t="s">
        <v>320</v>
      </c>
      <c r="B14" s="866" t="s">
        <v>710</v>
      </c>
      <c r="C14" s="866"/>
      <c r="D14" s="803"/>
      <c r="E14" s="803"/>
      <c r="F14" s="803"/>
      <c r="G14" s="803"/>
      <c r="H14" s="803"/>
      <c r="I14" s="803"/>
      <c r="J14" s="803"/>
      <c r="K14" s="803"/>
      <c r="L14" s="803"/>
      <c r="M14" s="803"/>
      <c r="N14" s="803"/>
      <c r="O14" s="712">
        <f>93.899+11.341</f>
        <v>105.24</v>
      </c>
      <c r="P14" s="712">
        <f>779.991+10.368</f>
        <v>790.35900000000004</v>
      </c>
      <c r="Q14" s="712">
        <f>9.876+108.446</f>
        <v>118.322</v>
      </c>
      <c r="R14" s="712">
        <f>21.25+304.336</f>
        <v>325.58600000000001</v>
      </c>
      <c r="S14" s="712"/>
      <c r="T14" s="712">
        <v>959.71299999999997</v>
      </c>
      <c r="U14" s="712">
        <v>361.03</v>
      </c>
      <c r="V14" s="712">
        <v>1555.684</v>
      </c>
      <c r="W14" s="712">
        <v>2144.0880000000002</v>
      </c>
      <c r="X14" s="712">
        <v>267.30799999999999</v>
      </c>
      <c r="Y14" s="712">
        <v>1165.5329999999999</v>
      </c>
      <c r="Z14" s="712">
        <v>108.247</v>
      </c>
      <c r="AA14" s="712">
        <v>310.85199999999998</v>
      </c>
      <c r="AB14" s="712">
        <v>245.40799999999999</v>
      </c>
      <c r="AC14" s="712">
        <v>880.05499999999995</v>
      </c>
      <c r="AD14" s="712">
        <v>241.26</v>
      </c>
      <c r="AE14" s="712">
        <v>4432.2389999999996</v>
      </c>
      <c r="AF14" s="712">
        <v>714.84</v>
      </c>
      <c r="AG14" s="712">
        <v>1019.6559999999999</v>
      </c>
      <c r="AH14" s="712">
        <v>1323.9119999999998</v>
      </c>
      <c r="AI14" s="712">
        <v>1339</v>
      </c>
      <c r="AJ14" s="712">
        <v>1022</v>
      </c>
      <c r="AK14" s="712">
        <v>155</v>
      </c>
      <c r="AL14" s="712">
        <v>432</v>
      </c>
      <c r="AM14" s="712">
        <v>902</v>
      </c>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row>
    <row r="15" spans="1:84" s="40" customFormat="1" ht="20.100000000000001" customHeight="1">
      <c r="A15" s="865" t="s">
        <v>374</v>
      </c>
      <c r="B15" s="866" t="s">
        <v>386</v>
      </c>
      <c r="C15" s="866"/>
      <c r="D15" s="803"/>
      <c r="E15" s="803"/>
      <c r="F15" s="803"/>
      <c r="G15" s="803"/>
      <c r="H15" s="803"/>
      <c r="I15" s="803"/>
      <c r="J15" s="803"/>
      <c r="K15" s="803"/>
      <c r="L15" s="803"/>
      <c r="M15" s="803"/>
      <c r="N15" s="803"/>
      <c r="O15" s="709"/>
      <c r="P15" s="709"/>
      <c r="Q15" s="709"/>
      <c r="R15" s="709"/>
      <c r="S15" s="709"/>
      <c r="T15" s="709"/>
      <c r="U15" s="709"/>
      <c r="V15" s="709"/>
      <c r="W15" s="709"/>
      <c r="X15" s="709"/>
      <c r="Y15" s="709"/>
      <c r="Z15" s="709"/>
      <c r="AA15" s="709"/>
      <c r="AB15" s="709"/>
      <c r="AC15" s="709"/>
      <c r="AD15" s="709"/>
      <c r="AE15" s="712">
        <v>5735.8939999999993</v>
      </c>
      <c r="AF15" s="712">
        <v>6053.5110000000004</v>
      </c>
      <c r="AG15" s="712">
        <v>6454.0439999999999</v>
      </c>
      <c r="AH15" s="712">
        <v>6583.67</v>
      </c>
      <c r="AI15" s="712">
        <v>12586</v>
      </c>
      <c r="AJ15" s="712">
        <v>12596</v>
      </c>
      <c r="AK15" s="712">
        <v>12568</v>
      </c>
      <c r="AL15" s="712">
        <v>13004</v>
      </c>
      <c r="AM15" s="712">
        <v>13236</v>
      </c>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row>
    <row r="16" spans="1:84" s="34" customFormat="1" ht="20.100000000000001" customHeight="1">
      <c r="A16" s="441" t="s">
        <v>515</v>
      </c>
      <c r="B16" s="732" t="s">
        <v>520</v>
      </c>
      <c r="C16" s="732"/>
      <c r="D16" s="536">
        <v>-3290.2049999999999</v>
      </c>
      <c r="E16" s="536">
        <v>-3457.0830000000001</v>
      </c>
      <c r="F16" s="536">
        <v>-3531.1889999999999</v>
      </c>
      <c r="G16" s="536">
        <v>-3937.1239999999998</v>
      </c>
      <c r="H16" s="536">
        <v>-4362.0659999999998</v>
      </c>
      <c r="I16" s="536">
        <v>-4525.2129999999997</v>
      </c>
      <c r="J16" s="536">
        <v>-4816.3040000000001</v>
      </c>
      <c r="K16" s="536">
        <v>-4856.67</v>
      </c>
      <c r="L16" s="536">
        <v>-5233.21</v>
      </c>
      <c r="M16" s="536">
        <v>-5290.0370000000003</v>
      </c>
      <c r="N16" s="536">
        <v>-5644.2449999999999</v>
      </c>
      <c r="O16" s="536">
        <v>-5658.2430000000004</v>
      </c>
      <c r="P16" s="536">
        <v>-5969.3180000000002</v>
      </c>
      <c r="Q16" s="536">
        <v>-6017.0649999999996</v>
      </c>
      <c r="R16" s="536">
        <v>-6474.6130000000003</v>
      </c>
      <c r="S16" s="536">
        <v>-6776.2650000000003</v>
      </c>
      <c r="T16" s="536">
        <v>-7197.1629999999996</v>
      </c>
      <c r="U16" s="536">
        <v>-7245.7839999999997</v>
      </c>
      <c r="V16" s="536">
        <v>-6926.174</v>
      </c>
      <c r="W16" s="536">
        <v>-6650.78</v>
      </c>
      <c r="X16" s="536">
        <v>-6622.7969999999996</v>
      </c>
      <c r="Y16" s="536">
        <v>-7406.4440000000004</v>
      </c>
      <c r="Z16" s="536">
        <v>-7616.8249999999998</v>
      </c>
      <c r="AA16" s="536">
        <v>-8022.4769999999999</v>
      </c>
      <c r="AB16" s="536">
        <v>-8129.5330000000004</v>
      </c>
      <c r="AC16" s="536">
        <v>-8352.1720000000005</v>
      </c>
      <c r="AD16" s="536">
        <v>-8534.6659999999993</v>
      </c>
      <c r="AE16" s="536">
        <v>-8287.2090000000007</v>
      </c>
      <c r="AF16" s="536">
        <v>-8367.768</v>
      </c>
      <c r="AG16" s="536">
        <v>-8476.6669999999995</v>
      </c>
      <c r="AH16" s="536">
        <v>-8157.4319999999998</v>
      </c>
      <c r="AI16" s="536">
        <v>-8003</v>
      </c>
      <c r="AJ16" s="536">
        <v>-8143</v>
      </c>
      <c r="AK16" s="536">
        <v>-8118</v>
      </c>
      <c r="AL16" s="536">
        <v>-8239</v>
      </c>
      <c r="AM16" s="536">
        <v>-7823</v>
      </c>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row>
    <row r="17" spans="1:84" s="66" customFormat="1" ht="20.100000000000001" customHeight="1">
      <c r="A17" s="781" t="s">
        <v>118</v>
      </c>
      <c r="B17" s="782" t="s">
        <v>347</v>
      </c>
      <c r="C17" s="782"/>
      <c r="D17" s="783">
        <v>106540.2</v>
      </c>
      <c r="E17" s="783">
        <v>107798.572</v>
      </c>
      <c r="F17" s="783">
        <v>111817.1</v>
      </c>
      <c r="G17" s="783">
        <v>116572.58500000001</v>
      </c>
      <c r="H17" s="783">
        <v>117892.444</v>
      </c>
      <c r="I17" s="783">
        <v>124665.467</v>
      </c>
      <c r="J17" s="783">
        <v>126715.1</v>
      </c>
      <c r="K17" s="783">
        <v>130668</v>
      </c>
      <c r="L17" s="783">
        <v>132419.804</v>
      </c>
      <c r="M17" s="783">
        <v>135680.43900000001</v>
      </c>
      <c r="N17" s="783">
        <v>139695.28099999999</v>
      </c>
      <c r="O17" s="783">
        <v>141634.49400000001</v>
      </c>
      <c r="P17" s="783">
        <v>140563</v>
      </c>
      <c r="Q17" s="783">
        <v>140943</v>
      </c>
      <c r="R17" s="783">
        <v>142315</v>
      </c>
      <c r="S17" s="783">
        <v>143483.06599999999</v>
      </c>
      <c r="T17" s="783">
        <v>147089.10999999999</v>
      </c>
      <c r="U17" s="783">
        <v>148684.44500000001</v>
      </c>
      <c r="V17" s="783">
        <v>149611.33499999999</v>
      </c>
      <c r="W17" s="783">
        <v>149623.26199999999</v>
      </c>
      <c r="X17" s="783">
        <v>149660.86499999999</v>
      </c>
      <c r="Y17" s="783">
        <v>177993.959</v>
      </c>
      <c r="Z17" s="783">
        <v>178333.3</v>
      </c>
      <c r="AA17" s="783">
        <v>179497.38399999999</v>
      </c>
      <c r="AB17" s="783">
        <v>182440.40599999999</v>
      </c>
      <c r="AC17" s="783">
        <v>185336.08900000001</v>
      </c>
      <c r="AD17" s="783">
        <v>185193.11499999999</v>
      </c>
      <c r="AE17" s="783">
        <v>190413.70800000001</v>
      </c>
      <c r="AF17" s="783">
        <v>187869.10699999999</v>
      </c>
      <c r="AG17" s="783">
        <v>191515.372</v>
      </c>
      <c r="AH17" s="783">
        <v>193174.34299999999</v>
      </c>
      <c r="AI17" s="783">
        <v>200606</v>
      </c>
      <c r="AJ17" s="783">
        <v>200579</v>
      </c>
      <c r="AK17" s="783">
        <v>204620</v>
      </c>
      <c r="AL17" s="783">
        <v>205809</v>
      </c>
      <c r="AM17" s="783">
        <v>205629</v>
      </c>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row>
    <row r="18" spans="1:84" s="72" customFormat="1" ht="12">
      <c r="A18" s="61"/>
      <c r="B18" s="61"/>
      <c r="C18" s="6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1"/>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row>
    <row r="19" spans="1:84" ht="14.25" thickBot="1">
      <c r="A19" s="882"/>
      <c r="B19" s="882"/>
      <c r="C19" s="882"/>
      <c r="D19" s="882"/>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row>
    <row r="20" spans="1:84" s="117" customFormat="1" ht="19.5" customHeight="1" thickBot="1">
      <c r="A20" s="343" t="s">
        <v>365</v>
      </c>
      <c r="B20" s="305" t="s">
        <v>182</v>
      </c>
      <c r="C20" s="305"/>
      <c r="D20" s="794" t="s">
        <v>304</v>
      </c>
      <c r="E20" s="794" t="s">
        <v>303</v>
      </c>
      <c r="F20" s="794" t="s">
        <v>302</v>
      </c>
      <c r="G20" s="794" t="s">
        <v>301</v>
      </c>
      <c r="H20" s="794" t="s">
        <v>297</v>
      </c>
      <c r="I20" s="794" t="s">
        <v>298</v>
      </c>
      <c r="J20" s="794" t="s">
        <v>299</v>
      </c>
      <c r="K20" s="794" t="s">
        <v>300</v>
      </c>
      <c r="L20" s="794" t="s">
        <v>296</v>
      </c>
      <c r="M20" s="794" t="s">
        <v>295</v>
      </c>
      <c r="N20" s="794" t="s">
        <v>294</v>
      </c>
      <c r="O20" s="794" t="s">
        <v>293</v>
      </c>
      <c r="P20" s="794" t="s">
        <v>292</v>
      </c>
      <c r="Q20" s="794" t="s">
        <v>291</v>
      </c>
      <c r="R20" s="794" t="s">
        <v>290</v>
      </c>
      <c r="S20" s="794" t="s">
        <v>289</v>
      </c>
      <c r="T20" s="794" t="s">
        <v>288</v>
      </c>
      <c r="U20" s="794" t="s">
        <v>287</v>
      </c>
      <c r="V20" s="794" t="s">
        <v>286</v>
      </c>
      <c r="W20" s="870" t="s">
        <v>285</v>
      </c>
      <c r="X20" s="870" t="s">
        <v>281</v>
      </c>
      <c r="Y20" s="870" t="s">
        <v>282</v>
      </c>
      <c r="Z20" s="870" t="s">
        <v>283</v>
      </c>
      <c r="AA20" s="870" t="s">
        <v>284</v>
      </c>
      <c r="AB20" s="870" t="s">
        <v>277</v>
      </c>
      <c r="AC20" s="870" t="s">
        <v>278</v>
      </c>
      <c r="AD20" s="870" t="s">
        <v>279</v>
      </c>
      <c r="AE20" s="870" t="s">
        <v>280</v>
      </c>
      <c r="AF20" s="870" t="s">
        <v>274</v>
      </c>
      <c r="AG20" s="870" t="s">
        <v>275</v>
      </c>
      <c r="AH20" s="870" t="s">
        <v>276</v>
      </c>
      <c r="AI20" s="870" t="s">
        <v>256</v>
      </c>
      <c r="AJ20" s="870" t="s">
        <v>273</v>
      </c>
      <c r="AK20" s="870" t="s">
        <v>272</v>
      </c>
      <c r="AL20" s="870" t="s">
        <v>255</v>
      </c>
      <c r="AM20" s="870" t="s">
        <v>271</v>
      </c>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row>
    <row r="21" spans="1:84" s="37" customFormat="1" ht="18" customHeight="1">
      <c r="A21" s="786" t="s">
        <v>332</v>
      </c>
      <c r="B21" s="787" t="s">
        <v>341</v>
      </c>
      <c r="C21" s="787"/>
      <c r="D21" s="788"/>
      <c r="E21" s="788"/>
      <c r="F21" s="788"/>
      <c r="G21" s="788"/>
      <c r="H21" s="789"/>
      <c r="I21" s="788"/>
      <c r="J21" s="788"/>
      <c r="K21" s="788"/>
      <c r="L21" s="789"/>
      <c r="M21" s="789"/>
      <c r="N21" s="789"/>
      <c r="O21" s="789"/>
      <c r="P21" s="789"/>
      <c r="Q21" s="790"/>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row>
    <row r="22" spans="1:84" s="40" customFormat="1" ht="13.5">
      <c r="A22" s="856" t="s">
        <v>333</v>
      </c>
      <c r="B22" s="857" t="s">
        <v>705</v>
      </c>
      <c r="C22" s="857"/>
      <c r="D22" s="803">
        <v>109830</v>
      </c>
      <c r="E22" s="712">
        <v>111256</v>
      </c>
      <c r="F22" s="712">
        <v>115348</v>
      </c>
      <c r="G22" s="712">
        <v>120509.709</v>
      </c>
      <c r="H22" s="712">
        <v>122255</v>
      </c>
      <c r="I22" s="712">
        <v>125807</v>
      </c>
      <c r="J22" s="712">
        <v>128681</v>
      </c>
      <c r="K22" s="712">
        <v>135525</v>
      </c>
      <c r="L22" s="872">
        <f>L32-L31</f>
        <v>137653.014</v>
      </c>
      <c r="M22" s="872">
        <f>M32-M31</f>
        <v>140970.43900000001</v>
      </c>
      <c r="N22" s="872">
        <v>145340</v>
      </c>
      <c r="O22" s="712">
        <v>147292.73699999999</v>
      </c>
      <c r="P22" s="712">
        <f>P23+P24+P25+P26+P29+P30</f>
        <v>146532.65099999995</v>
      </c>
      <c r="Q22" s="712">
        <f t="shared" ref="Q22:R22" si="1">Q23+Q24+Q25+Q26+Q29+Q30</f>
        <v>146960.48500000002</v>
      </c>
      <c r="R22" s="712">
        <f t="shared" si="1"/>
        <v>148789.70000000001</v>
      </c>
      <c r="S22" s="712">
        <v>150259.33100000001</v>
      </c>
      <c r="T22" s="712">
        <v>154286.27299999999</v>
      </c>
      <c r="U22" s="712">
        <v>155930.22900000002</v>
      </c>
      <c r="V22" s="712">
        <v>156537.50900000002</v>
      </c>
      <c r="W22" s="712">
        <v>156275</v>
      </c>
      <c r="X22" s="712">
        <v>156283.66199999998</v>
      </c>
      <c r="Y22" s="712">
        <v>185400.40299999999</v>
      </c>
      <c r="Z22" s="712">
        <v>185950.125</v>
      </c>
      <c r="AA22" s="712">
        <v>187519.42099999989</v>
      </c>
      <c r="AB22" s="712">
        <v>190570.33900000001</v>
      </c>
      <c r="AC22" s="712">
        <v>193689</v>
      </c>
      <c r="AD22" s="712">
        <v>193727.78100000005</v>
      </c>
      <c r="AE22" s="712">
        <v>198701</v>
      </c>
      <c r="AF22" s="712">
        <v>196236.875</v>
      </c>
      <c r="AG22" s="712">
        <v>199992.03899999999</v>
      </c>
      <c r="AH22" s="712">
        <v>201331.77499999999</v>
      </c>
      <c r="AI22" s="712">
        <v>208609</v>
      </c>
      <c r="AJ22" s="712">
        <v>208722</v>
      </c>
      <c r="AK22" s="712">
        <v>212738</v>
      </c>
      <c r="AL22" s="712">
        <v>214048</v>
      </c>
      <c r="AM22" s="712">
        <v>213452</v>
      </c>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row>
    <row r="23" spans="1:84" s="32" customFormat="1" ht="13.5">
      <c r="A23" s="771" t="s">
        <v>334</v>
      </c>
      <c r="B23" s="772" t="s">
        <v>342</v>
      </c>
      <c r="C23" s="772"/>
      <c r="D23" s="873"/>
      <c r="E23" s="873"/>
      <c r="F23" s="873"/>
      <c r="G23" s="873"/>
      <c r="H23" s="873"/>
      <c r="I23" s="873"/>
      <c r="J23" s="873"/>
      <c r="K23" s="874">
        <v>58052.381999999998</v>
      </c>
      <c r="L23" s="873"/>
      <c r="M23" s="873"/>
      <c r="N23" s="873"/>
      <c r="O23" s="874">
        <v>63446.688000000002</v>
      </c>
      <c r="P23" s="874">
        <f>64503.368-140.16-6.471</f>
        <v>64356.737000000001</v>
      </c>
      <c r="Q23" s="874">
        <f>65560.032-138.793-7.268</f>
        <v>65413.971000000012</v>
      </c>
      <c r="R23" s="874">
        <f>63258.531-137.747-8.065</f>
        <v>63112.718999999997</v>
      </c>
      <c r="S23" s="874">
        <v>64053.692000000003</v>
      </c>
      <c r="T23" s="874">
        <v>65258.915999999997</v>
      </c>
      <c r="U23" s="874">
        <v>67272.755000000005</v>
      </c>
      <c r="V23" s="874">
        <v>67959.857000000004</v>
      </c>
      <c r="W23" s="874">
        <v>68944</v>
      </c>
      <c r="X23" s="874">
        <v>70515.665999999997</v>
      </c>
      <c r="Y23" s="874">
        <v>87868.505999999994</v>
      </c>
      <c r="Z23" s="874">
        <v>89258.762000000002</v>
      </c>
      <c r="AA23" s="874">
        <v>90768.710999999996</v>
      </c>
      <c r="AB23" s="874">
        <v>93898.21</v>
      </c>
      <c r="AC23" s="874">
        <v>95641</v>
      </c>
      <c r="AD23" s="874">
        <v>94924.596000000005</v>
      </c>
      <c r="AE23" s="874">
        <v>96061</v>
      </c>
      <c r="AF23" s="874">
        <v>96237.868000000002</v>
      </c>
      <c r="AG23" s="874">
        <v>98802.839000000007</v>
      </c>
      <c r="AH23" s="874">
        <v>99165.702999999994</v>
      </c>
      <c r="AI23" s="874">
        <v>101389</v>
      </c>
      <c r="AJ23" s="874">
        <v>100955</v>
      </c>
      <c r="AK23" s="874">
        <v>101443</v>
      </c>
      <c r="AL23" s="874">
        <v>102090</v>
      </c>
      <c r="AM23" s="874">
        <v>101544</v>
      </c>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row>
    <row r="24" spans="1:84" s="32" customFormat="1" ht="27">
      <c r="A24" s="771" t="s">
        <v>340</v>
      </c>
      <c r="B24" s="774" t="s">
        <v>349</v>
      </c>
      <c r="C24" s="774"/>
      <c r="D24" s="873"/>
      <c r="E24" s="873"/>
      <c r="F24" s="873"/>
      <c r="G24" s="873"/>
      <c r="H24" s="873"/>
      <c r="I24" s="873"/>
      <c r="J24" s="873"/>
      <c r="K24" s="874">
        <v>30590.125</v>
      </c>
      <c r="L24" s="873"/>
      <c r="M24" s="873"/>
      <c r="N24" s="873"/>
      <c r="O24" s="874">
        <f>33946.284+105.24</f>
        <v>34051.523999999998</v>
      </c>
      <c r="P24" s="874">
        <f>34206.772+790.359</f>
        <v>34997.130999999994</v>
      </c>
      <c r="Q24" s="874">
        <f>36755.221+118.322</f>
        <v>36873.542999999998</v>
      </c>
      <c r="R24" s="874">
        <f>39997.689+325.586</f>
        <v>40323.275000000001</v>
      </c>
      <c r="S24" s="874">
        <v>41113.192000000003</v>
      </c>
      <c r="T24" s="874">
        <v>43970.383000000002</v>
      </c>
      <c r="U24" s="874">
        <v>43353.936000000002</v>
      </c>
      <c r="V24" s="874">
        <v>43264.442000000003</v>
      </c>
      <c r="W24" s="874">
        <v>42538</v>
      </c>
      <c r="X24" s="874">
        <v>40976.958999999995</v>
      </c>
      <c r="Y24" s="874">
        <v>51642.584000000003</v>
      </c>
      <c r="Z24" s="874">
        <v>50416.207000000002</v>
      </c>
      <c r="AA24" s="874">
        <v>50971.945999999902</v>
      </c>
      <c r="AB24" s="874">
        <v>50439.233999999997</v>
      </c>
      <c r="AC24" s="874">
        <v>51146</v>
      </c>
      <c r="AD24" s="874">
        <v>51527.473000000005</v>
      </c>
      <c r="AE24" s="874">
        <v>55593</v>
      </c>
      <c r="AF24" s="874">
        <v>52765.828999999998</v>
      </c>
      <c r="AG24" s="874">
        <v>53071.627</v>
      </c>
      <c r="AH24" s="874">
        <v>53985.921999999999</v>
      </c>
      <c r="AI24" s="874">
        <v>54522</v>
      </c>
      <c r="AJ24" s="874">
        <v>54625</v>
      </c>
      <c r="AK24" s="874">
        <v>57273</v>
      </c>
      <c r="AL24" s="874">
        <v>57048</v>
      </c>
      <c r="AM24" s="874">
        <v>56056</v>
      </c>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row>
    <row r="25" spans="1:84" s="32" customFormat="1" ht="13.5">
      <c r="A25" s="771" t="s">
        <v>323</v>
      </c>
      <c r="B25" s="772" t="s">
        <v>345</v>
      </c>
      <c r="C25" s="772"/>
      <c r="D25" s="873"/>
      <c r="E25" s="873"/>
      <c r="F25" s="873"/>
      <c r="G25" s="873"/>
      <c r="H25" s="873"/>
      <c r="I25" s="873"/>
      <c r="J25" s="873"/>
      <c r="K25" s="874">
        <v>23124.798999999999</v>
      </c>
      <c r="L25" s="873"/>
      <c r="M25" s="873"/>
      <c r="N25" s="873"/>
      <c r="O25" s="874">
        <v>24336.752</v>
      </c>
      <c r="P25" s="874">
        <f>21003.381-237.313</f>
        <v>20766.068000000003</v>
      </c>
      <c r="Q25" s="874">
        <f>20489.684-241.674</f>
        <v>20248.010000000002</v>
      </c>
      <c r="R25" s="874">
        <f>22744.893-244.663</f>
        <v>22500.23</v>
      </c>
      <c r="S25" s="874">
        <v>21767.541000000001</v>
      </c>
      <c r="T25" s="874">
        <v>21043.556</v>
      </c>
      <c r="U25" s="874">
        <v>20882.577000000001</v>
      </c>
      <c r="V25" s="874">
        <v>20729.518</v>
      </c>
      <c r="W25" s="874">
        <v>20627</v>
      </c>
      <c r="X25" s="874">
        <v>20303.839</v>
      </c>
      <c r="Y25" s="874">
        <v>20958.812000000002</v>
      </c>
      <c r="Z25" s="874">
        <v>21538.517</v>
      </c>
      <c r="AA25" s="874">
        <v>21644.625</v>
      </c>
      <c r="AB25" s="874">
        <v>21696.171999999999</v>
      </c>
      <c r="AC25" s="874">
        <v>22340</v>
      </c>
      <c r="AD25" s="874">
        <v>23476.089</v>
      </c>
      <c r="AE25" s="874">
        <v>23529</v>
      </c>
      <c r="AF25" s="874">
        <v>23596.708999999999</v>
      </c>
      <c r="AG25" s="874">
        <v>24246.328000000001</v>
      </c>
      <c r="AH25" s="874">
        <v>24439.008000000002</v>
      </c>
      <c r="AI25" s="874">
        <v>24701</v>
      </c>
      <c r="AJ25" s="874">
        <v>24905</v>
      </c>
      <c r="AK25" s="874">
        <v>25568</v>
      </c>
      <c r="AL25" s="874">
        <v>26260</v>
      </c>
      <c r="AM25" s="874">
        <v>26288</v>
      </c>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row>
    <row r="26" spans="1:84" s="32" customFormat="1" ht="27">
      <c r="A26" s="771" t="s">
        <v>706</v>
      </c>
      <c r="B26" s="772" t="s">
        <v>714</v>
      </c>
      <c r="C26" s="772"/>
      <c r="D26" s="873"/>
      <c r="E26" s="873"/>
      <c r="F26" s="873"/>
      <c r="G26" s="873"/>
      <c r="H26" s="873"/>
      <c r="I26" s="873"/>
      <c r="J26" s="873"/>
      <c r="K26" s="874">
        <v>22948.232</v>
      </c>
      <c r="L26" s="873"/>
      <c r="M26" s="873"/>
      <c r="N26" s="873"/>
      <c r="O26" s="874">
        <f>17454.568+7984.735</f>
        <v>25439.303</v>
      </c>
      <c r="P26" s="874">
        <f>17295.556+7958.043</f>
        <v>25253.599000000002</v>
      </c>
      <c r="Q26" s="874">
        <f>16595.919+6632.089</f>
        <v>23228.008000000002</v>
      </c>
      <c r="R26" s="874">
        <f>16493.441+6353.88</f>
        <v>22847.321</v>
      </c>
      <c r="S26" s="874">
        <v>23316.127</v>
      </c>
      <c r="T26" s="874">
        <v>23997.483</v>
      </c>
      <c r="U26" s="874">
        <v>24406.469000000001</v>
      </c>
      <c r="V26" s="874">
        <v>24568.513999999999</v>
      </c>
      <c r="W26" s="874">
        <v>24147</v>
      </c>
      <c r="X26" s="874">
        <v>24469.39</v>
      </c>
      <c r="Y26" s="874">
        <v>24909.152999999998</v>
      </c>
      <c r="Z26" s="874">
        <v>24725.154999999999</v>
      </c>
      <c r="AA26" s="874">
        <v>24123.138999999999</v>
      </c>
      <c r="AB26" s="874">
        <v>24527.941999999999</v>
      </c>
      <c r="AC26" s="874">
        <v>24551</v>
      </c>
      <c r="AD26" s="874">
        <v>23787.306</v>
      </c>
      <c r="AE26" s="874">
        <v>23497</v>
      </c>
      <c r="AF26" s="874">
        <v>23623.717000000001</v>
      </c>
      <c r="AG26" s="874">
        <v>23843.859</v>
      </c>
      <c r="AH26" s="874">
        <v>23728.212</v>
      </c>
      <c r="AI26" s="874">
        <v>27997</v>
      </c>
      <c r="AJ26" s="874">
        <v>28244</v>
      </c>
      <c r="AK26" s="874">
        <v>28454</v>
      </c>
      <c r="AL26" s="874">
        <v>28650</v>
      </c>
      <c r="AM26" s="874">
        <v>29564</v>
      </c>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row>
    <row r="27" spans="1:84" s="32" customFormat="1" ht="13.5">
      <c r="A27" s="876" t="s">
        <v>338</v>
      </c>
      <c r="B27" s="772" t="s">
        <v>713</v>
      </c>
      <c r="C27" s="772"/>
      <c r="D27" s="873"/>
      <c r="E27" s="873"/>
      <c r="F27" s="873"/>
      <c r="G27" s="873"/>
      <c r="H27" s="873"/>
      <c r="I27" s="873"/>
      <c r="J27" s="873"/>
      <c r="K27" s="718"/>
      <c r="L27" s="873"/>
      <c r="M27" s="873"/>
      <c r="N27" s="873"/>
      <c r="O27" s="718"/>
      <c r="P27" s="718"/>
      <c r="Q27" s="718"/>
      <c r="R27" s="718"/>
      <c r="S27" s="718"/>
      <c r="T27" s="718"/>
      <c r="U27" s="718"/>
      <c r="V27" s="718"/>
      <c r="W27" s="718"/>
      <c r="X27" s="718"/>
      <c r="Y27" s="718"/>
      <c r="Z27" s="718"/>
      <c r="AA27" s="718"/>
      <c r="AB27" s="718"/>
      <c r="AC27" s="718"/>
      <c r="AD27" s="718"/>
      <c r="AE27" s="874">
        <v>11</v>
      </c>
      <c r="AF27" s="718"/>
      <c r="AG27" s="874">
        <v>17.035</v>
      </c>
      <c r="AH27" s="718"/>
      <c r="AI27" s="718"/>
      <c r="AJ27" s="718"/>
      <c r="AK27" s="718"/>
      <c r="AL27" s="718"/>
      <c r="AM27" s="71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row>
    <row r="28" spans="1:84" s="32" customFormat="1" ht="40.5">
      <c r="A28" s="771" t="s">
        <v>335</v>
      </c>
      <c r="B28" s="774" t="s">
        <v>707</v>
      </c>
      <c r="C28" s="774"/>
      <c r="D28" s="873"/>
      <c r="E28" s="873"/>
      <c r="F28" s="873"/>
      <c r="G28" s="873"/>
      <c r="H28" s="873"/>
      <c r="I28" s="873"/>
      <c r="J28" s="873"/>
      <c r="K28" s="718"/>
      <c r="L28" s="873"/>
      <c r="M28" s="873"/>
      <c r="N28" s="873"/>
      <c r="O28" s="718"/>
      <c r="P28" s="718"/>
      <c r="Q28" s="718"/>
      <c r="R28" s="718"/>
      <c r="S28" s="718"/>
      <c r="T28" s="718"/>
      <c r="U28" s="718"/>
      <c r="V28" s="874">
        <v>15.178000000000001</v>
      </c>
      <c r="W28" s="718"/>
      <c r="X28" s="718"/>
      <c r="Y28" s="718"/>
      <c r="Z28" s="874">
        <v>11.484</v>
      </c>
      <c r="AA28" s="718"/>
      <c r="AB28" s="718"/>
      <c r="AC28" s="718"/>
      <c r="AD28" s="874">
        <v>12.317</v>
      </c>
      <c r="AE28" s="718"/>
      <c r="AF28" s="718"/>
      <c r="AG28" s="718"/>
      <c r="AH28" s="718"/>
      <c r="AI28" s="718"/>
      <c r="AJ28" s="718"/>
      <c r="AK28" s="718"/>
      <c r="AL28" s="718"/>
      <c r="AM28" s="71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row>
    <row r="29" spans="1:84" s="32" customFormat="1" ht="13.5">
      <c r="A29" s="877" t="s">
        <v>339</v>
      </c>
      <c r="B29" s="772" t="s">
        <v>711</v>
      </c>
      <c r="C29" s="772"/>
      <c r="D29" s="873"/>
      <c r="E29" s="873"/>
      <c r="F29" s="873"/>
      <c r="G29" s="873"/>
      <c r="H29" s="873"/>
      <c r="I29" s="873"/>
      <c r="J29" s="873"/>
      <c r="K29" s="874">
        <v>84.388000000000005</v>
      </c>
      <c r="L29" s="873"/>
      <c r="M29" s="873"/>
      <c r="N29" s="873"/>
      <c r="O29" s="874">
        <v>18.47</v>
      </c>
      <c r="P29" s="874">
        <v>55.017000000000003</v>
      </c>
      <c r="Q29" s="874">
        <v>47.485999999999997</v>
      </c>
      <c r="R29" s="874">
        <v>6.1550000000000002</v>
      </c>
      <c r="S29" s="874">
        <v>8.7789999999999999</v>
      </c>
      <c r="T29" s="874">
        <v>15.935</v>
      </c>
      <c r="U29" s="874">
        <v>14.492000000000001</v>
      </c>
      <c r="V29" s="718"/>
      <c r="W29" s="874">
        <v>19</v>
      </c>
      <c r="X29" s="874">
        <v>17.808</v>
      </c>
      <c r="Y29" s="874">
        <v>21.347999999999999</v>
      </c>
      <c r="Z29" s="718"/>
      <c r="AA29" s="874">
        <v>11</v>
      </c>
      <c r="AB29" s="874">
        <v>8.7810000000000006</v>
      </c>
      <c r="AC29" s="874">
        <v>11</v>
      </c>
      <c r="AD29" s="718"/>
      <c r="AE29" s="874">
        <v>10</v>
      </c>
      <c r="AF29" s="874">
        <v>12.539</v>
      </c>
      <c r="AG29" s="874">
        <v>10.351000000000001</v>
      </c>
      <c r="AH29" s="874">
        <v>12.93</v>
      </c>
      <c r="AI29" s="874"/>
      <c r="AJ29" s="874">
        <v>13</v>
      </c>
      <c r="AK29" s="718"/>
      <c r="AL29" s="718"/>
      <c r="AM29" s="71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row>
    <row r="30" spans="1:84" s="32" customFormat="1" ht="13.5">
      <c r="A30" s="819" t="s">
        <v>516</v>
      </c>
      <c r="B30" s="772" t="s">
        <v>521</v>
      </c>
      <c r="C30" s="772"/>
      <c r="D30" s="874">
        <f>D10</f>
        <v>514.78099999999995</v>
      </c>
      <c r="E30" s="873"/>
      <c r="F30" s="873"/>
      <c r="G30" s="873"/>
      <c r="H30" s="873"/>
      <c r="I30" s="873"/>
      <c r="J30" s="873"/>
      <c r="K30" s="874">
        <v>724.86300000000006</v>
      </c>
      <c r="L30" s="873"/>
      <c r="M30" s="873"/>
      <c r="N30" s="873"/>
      <c r="O30" s="874"/>
      <c r="P30" s="874">
        <v>1104.0989999999999</v>
      </c>
      <c r="Q30" s="874">
        <v>1149.4670000000001</v>
      </c>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row>
    <row r="31" spans="1:84" s="34" customFormat="1" ht="13.5">
      <c r="A31" s="878" t="s">
        <v>336</v>
      </c>
      <c r="B31" s="879" t="s">
        <v>520</v>
      </c>
      <c r="C31" s="879"/>
      <c r="D31" s="880">
        <f>D16</f>
        <v>-3290.2049999999999</v>
      </c>
      <c r="E31" s="855">
        <f>E16</f>
        <v>-3457.0830000000001</v>
      </c>
      <c r="F31" s="855">
        <f>F16</f>
        <v>-3531.1889999999999</v>
      </c>
      <c r="G31" s="855">
        <v>-3937.1239999999998</v>
      </c>
      <c r="H31" s="855">
        <v>-4362.0659999999998</v>
      </c>
      <c r="I31" s="855">
        <v>-4525.2129999999997</v>
      </c>
      <c r="J31" s="855">
        <v>-4816.3040000000001</v>
      </c>
      <c r="K31" s="855">
        <v>-4856.67</v>
      </c>
      <c r="L31" s="855">
        <v>-5233.21</v>
      </c>
      <c r="M31" s="855">
        <v>-5290</v>
      </c>
      <c r="N31" s="855">
        <v>-5644</v>
      </c>
      <c r="O31" s="855">
        <v>-5658.2430000000004</v>
      </c>
      <c r="P31" s="855">
        <v>-5969.3180000000002</v>
      </c>
      <c r="Q31" s="855">
        <v>-6017.0649999999996</v>
      </c>
      <c r="R31" s="855">
        <v>-6474.6130000000003</v>
      </c>
      <c r="S31" s="855">
        <v>-6776.2650000000003</v>
      </c>
      <c r="T31" s="855">
        <v>-7197.1629999999996</v>
      </c>
      <c r="U31" s="855">
        <v>-7245.7839999999997</v>
      </c>
      <c r="V31" s="855">
        <v>-6926.174</v>
      </c>
      <c r="W31" s="855">
        <v>-6651</v>
      </c>
      <c r="X31" s="855">
        <v>-6622.7969999999996</v>
      </c>
      <c r="Y31" s="855">
        <v>-7406.4440000000004</v>
      </c>
      <c r="Z31" s="855">
        <v>-7616.8249999999998</v>
      </c>
      <c r="AA31" s="855">
        <v>-8022.4769999999999</v>
      </c>
      <c r="AB31" s="855">
        <v>-8129.5330000000004</v>
      </c>
      <c r="AC31" s="855">
        <v>-8352</v>
      </c>
      <c r="AD31" s="855">
        <v>-8534.6659999999993</v>
      </c>
      <c r="AE31" s="855">
        <v>-8287</v>
      </c>
      <c r="AF31" s="855">
        <v>-8367.768</v>
      </c>
      <c r="AG31" s="855">
        <v>-8476.6669999999995</v>
      </c>
      <c r="AH31" s="855">
        <v>-8157.4319999999998</v>
      </c>
      <c r="AI31" s="855">
        <v>-8003</v>
      </c>
      <c r="AJ31" s="855">
        <v>-8143</v>
      </c>
      <c r="AK31" s="855">
        <v>-8118</v>
      </c>
      <c r="AL31" s="855">
        <v>-8239</v>
      </c>
      <c r="AM31" s="855">
        <v>-7823</v>
      </c>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row>
    <row r="32" spans="1:84" s="66" customFormat="1" ht="15">
      <c r="A32" s="781" t="s">
        <v>337</v>
      </c>
      <c r="B32" s="782" t="s">
        <v>347</v>
      </c>
      <c r="C32" s="782"/>
      <c r="D32" s="783">
        <f>D17</f>
        <v>106540.2</v>
      </c>
      <c r="E32" s="783">
        <v>107798.572</v>
      </c>
      <c r="F32" s="783">
        <v>111817</v>
      </c>
      <c r="G32" s="783">
        <v>116572.58500000001</v>
      </c>
      <c r="H32" s="783">
        <v>117892.444</v>
      </c>
      <c r="I32" s="783">
        <v>124665.467</v>
      </c>
      <c r="J32" s="783">
        <v>126715.1</v>
      </c>
      <c r="K32" s="783">
        <v>130668</v>
      </c>
      <c r="L32" s="783">
        <v>132419.804</v>
      </c>
      <c r="M32" s="783">
        <v>135680.43900000001</v>
      </c>
      <c r="N32" s="783">
        <v>139695.28099999999</v>
      </c>
      <c r="O32" s="783">
        <v>141634.49400000001</v>
      </c>
      <c r="P32" s="783">
        <v>140563</v>
      </c>
      <c r="Q32" s="783">
        <v>140943</v>
      </c>
      <c r="R32" s="783">
        <v>142315</v>
      </c>
      <c r="S32" s="783">
        <v>143483.06599999999</v>
      </c>
      <c r="T32" s="783">
        <v>147089.10999999999</v>
      </c>
      <c r="U32" s="783">
        <v>148684.44500000001</v>
      </c>
      <c r="V32" s="783">
        <v>149611.33499999999</v>
      </c>
      <c r="W32" s="783">
        <v>149623</v>
      </c>
      <c r="X32" s="783">
        <v>149660.86499999999</v>
      </c>
      <c r="Y32" s="783">
        <v>177993.959</v>
      </c>
      <c r="Z32" s="783">
        <v>178333.3</v>
      </c>
      <c r="AA32" s="783">
        <v>179497.38399999999</v>
      </c>
      <c r="AB32" s="783">
        <v>182440.40599999999</v>
      </c>
      <c r="AC32" s="783">
        <v>185336</v>
      </c>
      <c r="AD32" s="783">
        <v>185193.11499999999</v>
      </c>
      <c r="AE32" s="783">
        <v>190414</v>
      </c>
      <c r="AF32" s="783">
        <v>187869.10699999999</v>
      </c>
      <c r="AG32" s="783">
        <v>191515.372</v>
      </c>
      <c r="AH32" s="783">
        <v>193174.34299999999</v>
      </c>
      <c r="AI32" s="783">
        <v>200606</v>
      </c>
      <c r="AJ32" s="783">
        <v>200579</v>
      </c>
      <c r="AK32" s="783">
        <v>204620</v>
      </c>
      <c r="AL32" s="783">
        <v>205809</v>
      </c>
      <c r="AM32" s="783">
        <v>205629</v>
      </c>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row>
    <row r="33" spans="4:39" s="167" customFormat="1" ht="12">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51"/>
    </row>
    <row r="34" spans="4:39" s="850" customFormat="1">
      <c r="D34" s="852"/>
      <c r="E34" s="852"/>
      <c r="F34" s="852"/>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row>
    <row r="35" spans="4:39" s="146" customFormat="1"/>
    <row r="36" spans="4:39" s="146" customFormat="1"/>
    <row r="37" spans="4:39" s="146" customFormat="1">
      <c r="AD37" s="853" t="s">
        <v>800</v>
      </c>
    </row>
    <row r="38" spans="4:39" s="146" customFormat="1">
      <c r="AD38" s="853" t="s">
        <v>801</v>
      </c>
    </row>
    <row r="39" spans="4:39" s="146" customFormat="1"/>
    <row r="40" spans="4:39" s="146" customFormat="1"/>
    <row r="41" spans="4:39" s="146" customFormat="1"/>
    <row r="42" spans="4:39" s="146" customFormat="1"/>
    <row r="43" spans="4:39" s="146" customFormat="1"/>
    <row r="44" spans="4:39" s="146" customFormat="1"/>
    <row r="45" spans="4:39" s="146" customFormat="1"/>
    <row r="46" spans="4:39" s="146" customFormat="1"/>
    <row r="47" spans="4:39" s="146" customFormat="1"/>
    <row r="48" spans="4:39" s="146" customFormat="1"/>
    <row r="49" s="146" customFormat="1"/>
    <row r="50" s="146" customFormat="1"/>
    <row r="51" s="146" customFormat="1"/>
    <row r="52" s="146" customFormat="1"/>
    <row r="53" s="146" customFormat="1"/>
    <row r="54" s="146" customFormat="1"/>
    <row r="55" s="146" customFormat="1"/>
    <row r="56" s="146" customFormat="1"/>
    <row r="57" s="146" customFormat="1"/>
    <row r="58" s="146" customFormat="1"/>
    <row r="59" s="146" customFormat="1"/>
    <row r="60" s="146" customFormat="1"/>
    <row r="61" s="146" customFormat="1"/>
    <row r="62" s="146" customFormat="1"/>
    <row r="63" s="146" customFormat="1"/>
    <row r="64" s="146" customFormat="1"/>
    <row r="65" s="146" customFormat="1"/>
    <row r="66" s="146" customFormat="1"/>
    <row r="67" s="146" customFormat="1"/>
    <row r="68" s="146" customFormat="1"/>
    <row r="69" s="146" customFormat="1"/>
    <row r="70" s="146" customFormat="1"/>
    <row r="71" s="146" customFormat="1"/>
    <row r="72" s="146" customFormat="1"/>
    <row r="73" s="146" customFormat="1"/>
    <row r="74" s="146" customFormat="1"/>
    <row r="75" s="146" customFormat="1"/>
    <row r="76" s="146" customFormat="1"/>
    <row r="77" s="146" customFormat="1"/>
    <row r="78" s="146" customFormat="1"/>
    <row r="79" s="146" customFormat="1"/>
    <row r="80" s="146" customFormat="1"/>
    <row r="81" s="146" customFormat="1"/>
    <row r="82" s="146" customFormat="1"/>
    <row r="83" s="146" customFormat="1"/>
    <row r="84" s="146" customFormat="1"/>
    <row r="85" s="146" customFormat="1"/>
    <row r="86" s="146" customFormat="1"/>
    <row r="87" s="146" customFormat="1"/>
    <row r="88" s="146" customFormat="1"/>
    <row r="89" s="146" customFormat="1"/>
    <row r="90" s="146" customFormat="1"/>
    <row r="91" s="146" customFormat="1"/>
    <row r="92" s="146" customFormat="1"/>
    <row r="93" s="146" customFormat="1"/>
    <row r="94" s="146" customFormat="1"/>
    <row r="95" s="146" customFormat="1"/>
    <row r="96" s="146" customFormat="1"/>
    <row r="97" s="146" customFormat="1"/>
    <row r="98" s="146" customFormat="1"/>
    <row r="99" s="146" customFormat="1"/>
    <row r="100" s="146" customFormat="1"/>
    <row r="101" s="146" customFormat="1"/>
    <row r="102" s="146" customFormat="1"/>
    <row r="103" s="146" customFormat="1"/>
    <row r="104" s="146" customFormat="1"/>
    <row r="105" s="146" customFormat="1"/>
    <row r="106" s="146" customFormat="1"/>
    <row r="107" s="146" customFormat="1"/>
    <row r="108" s="146" customFormat="1"/>
    <row r="109" s="146" customFormat="1"/>
    <row r="110" s="146" customFormat="1"/>
    <row r="111" s="146" customFormat="1"/>
    <row r="112" s="146" customFormat="1"/>
    <row r="113" s="146" customFormat="1"/>
    <row r="114" s="146" customFormat="1"/>
    <row r="115" s="146" customFormat="1"/>
    <row r="116" s="146" customFormat="1"/>
    <row r="117" s="146" customFormat="1"/>
    <row r="118" s="146" customFormat="1"/>
    <row r="119" s="146" customFormat="1"/>
    <row r="120" s="146" customFormat="1"/>
    <row r="121" s="146" customFormat="1"/>
    <row r="122" s="146" customFormat="1"/>
    <row r="123" s="146" customFormat="1"/>
    <row r="124" s="146" customFormat="1"/>
    <row r="125" s="146" customFormat="1"/>
    <row r="126" s="146" customFormat="1"/>
    <row r="127" s="146" customFormat="1"/>
    <row r="128" s="146" customFormat="1"/>
    <row r="129" s="146" customFormat="1"/>
    <row r="130" s="146" customFormat="1"/>
    <row r="131" s="146" customFormat="1"/>
    <row r="132" s="146" customFormat="1"/>
    <row r="133" s="146" customFormat="1"/>
    <row r="134" s="146" customFormat="1"/>
    <row r="135" s="146" customFormat="1"/>
    <row r="136" s="146" customFormat="1"/>
    <row r="137" s="146" customFormat="1"/>
    <row r="138" s="146" customFormat="1"/>
    <row r="139" s="146" customFormat="1"/>
    <row r="140" s="146" customFormat="1"/>
    <row r="141" s="146" customFormat="1"/>
    <row r="142" s="146" customFormat="1"/>
    <row r="143" s="146" customFormat="1"/>
    <row r="144" s="146" customFormat="1"/>
    <row r="145" s="146" customFormat="1"/>
    <row r="146" s="146" customFormat="1"/>
    <row r="147" s="146" customFormat="1"/>
    <row r="148" s="146" customFormat="1"/>
    <row r="149" s="146" customFormat="1"/>
    <row r="150" s="146" customFormat="1"/>
    <row r="151" s="146" customFormat="1"/>
    <row r="152" s="146" customFormat="1"/>
    <row r="153" s="146" customFormat="1"/>
    <row r="154" s="146" customFormat="1"/>
    <row r="155" s="146" customFormat="1"/>
    <row r="156" s="146" customFormat="1"/>
    <row r="157" s="146" customFormat="1"/>
    <row r="158" s="146" customFormat="1"/>
    <row r="159" s="146" customFormat="1"/>
    <row r="160" s="146" customFormat="1"/>
    <row r="161" s="146" customFormat="1"/>
    <row r="162" s="146" customFormat="1"/>
    <row r="163" s="146" customFormat="1"/>
    <row r="164" s="146" customFormat="1"/>
    <row r="165" s="146" customFormat="1"/>
    <row r="166" s="146" customFormat="1"/>
    <row r="167" s="146" customFormat="1"/>
    <row r="168" s="146" customFormat="1"/>
    <row r="169" s="146" customFormat="1"/>
    <row r="170" s="146" customFormat="1"/>
    <row r="171" s="146" customFormat="1"/>
    <row r="172" s="146" customFormat="1"/>
    <row r="173" s="146" customFormat="1"/>
    <row r="174" s="146" customFormat="1"/>
    <row r="175" s="146" customFormat="1"/>
    <row r="176" s="146" customFormat="1"/>
    <row r="177" s="146" customFormat="1"/>
    <row r="178" s="146" customFormat="1"/>
    <row r="179" s="146" customFormat="1"/>
    <row r="180" s="146" customFormat="1"/>
    <row r="181" s="146" customFormat="1"/>
    <row r="182" s="146" customFormat="1"/>
    <row r="183" s="146" customFormat="1"/>
    <row r="184" s="146" customFormat="1"/>
    <row r="185" s="146" customFormat="1"/>
    <row r="186" s="146" customFormat="1"/>
    <row r="187" s="146" customFormat="1"/>
    <row r="188" s="146" customFormat="1"/>
    <row r="189" s="146" customFormat="1"/>
    <row r="190" s="146" customFormat="1"/>
    <row r="191" s="146" customFormat="1"/>
    <row r="192" s="146" customFormat="1"/>
    <row r="193" s="146" customFormat="1"/>
    <row r="194" s="146" customFormat="1"/>
    <row r="195" s="146" customFormat="1"/>
    <row r="196" s="146" customFormat="1"/>
    <row r="197" s="146" customFormat="1"/>
    <row r="198" s="146" customFormat="1"/>
    <row r="199" s="146" customFormat="1"/>
    <row r="200" s="146" customFormat="1"/>
    <row r="201" s="146" customFormat="1"/>
    <row r="202" s="146" customFormat="1"/>
    <row r="203" s="146" customFormat="1"/>
    <row r="204" s="146" customFormat="1"/>
    <row r="205" s="146" customFormat="1"/>
    <row r="206" s="146" customFormat="1"/>
    <row r="207" s="146" customFormat="1"/>
    <row r="208" s="146" customFormat="1"/>
    <row r="209" s="146" customFormat="1"/>
    <row r="210" s="146" customFormat="1"/>
    <row r="211" s="146" customFormat="1"/>
    <row r="212" s="146" customFormat="1"/>
    <row r="213" s="146" customFormat="1"/>
    <row r="214" s="146" customFormat="1"/>
    <row r="215" s="146" customFormat="1"/>
    <row r="216" s="146" customFormat="1"/>
    <row r="217" s="146" customFormat="1"/>
    <row r="218" s="146" customFormat="1"/>
    <row r="219" s="146" customFormat="1"/>
    <row r="220" s="146" customFormat="1"/>
    <row r="221" s="146" customFormat="1"/>
    <row r="222" s="146" customFormat="1"/>
    <row r="223" s="146" customFormat="1"/>
    <row r="224" s="146" customFormat="1"/>
    <row r="225" s="146" customFormat="1"/>
    <row r="226" s="146" customFormat="1"/>
    <row r="227" s="146" customFormat="1"/>
    <row r="228" s="146" customFormat="1"/>
    <row r="229" s="146" customFormat="1"/>
    <row r="230" s="146" customFormat="1"/>
    <row r="231" s="146" customFormat="1"/>
    <row r="232" s="146" customFormat="1"/>
    <row r="233" s="146" customFormat="1"/>
    <row r="234" s="146" customFormat="1"/>
    <row r="235" s="146" customFormat="1"/>
    <row r="236" s="146" customFormat="1"/>
    <row r="237" s="146" customFormat="1"/>
    <row r="238" s="146" customFormat="1"/>
    <row r="239" s="146" customFormat="1"/>
    <row r="240" s="146" customFormat="1"/>
    <row r="241" s="146" customFormat="1"/>
    <row r="242" s="146" customFormat="1"/>
    <row r="243" s="146" customFormat="1"/>
    <row r="244" s="146" customFormat="1"/>
    <row r="245" s="146" customFormat="1"/>
    <row r="246" s="146" customFormat="1"/>
    <row r="247" s="146" customFormat="1"/>
    <row r="248" s="146" customFormat="1"/>
    <row r="249" s="146" customFormat="1"/>
    <row r="250" s="146" customFormat="1"/>
    <row r="251" s="146" customFormat="1"/>
    <row r="252" s="146" customFormat="1"/>
    <row r="253" s="146" customFormat="1"/>
    <row r="254" s="146" customFormat="1"/>
    <row r="255" s="146" customFormat="1"/>
    <row r="256" s="146" customFormat="1"/>
    <row r="257" s="146" customFormat="1"/>
    <row r="258" s="146" customFormat="1"/>
    <row r="259" s="146" customFormat="1"/>
    <row r="260" s="146" customFormat="1"/>
    <row r="261" s="146" customFormat="1"/>
    <row r="262" s="146" customFormat="1"/>
    <row r="263" s="146" customFormat="1"/>
    <row r="264" s="146" customFormat="1"/>
    <row r="265" s="146" customFormat="1"/>
    <row r="266" s="146" customFormat="1"/>
    <row r="267" s="146" customFormat="1"/>
    <row r="268" s="146" customFormat="1"/>
    <row r="269" s="146" customFormat="1"/>
    <row r="270" s="146" customFormat="1"/>
    <row r="271" s="146" customFormat="1"/>
    <row r="272" s="146" customFormat="1"/>
    <row r="273" s="146" customFormat="1"/>
    <row r="274" s="146" customFormat="1"/>
    <row r="275" s="146" customFormat="1"/>
    <row r="276" s="146" customFormat="1"/>
    <row r="277" s="146" customFormat="1"/>
    <row r="278" s="146" customFormat="1"/>
    <row r="279" s="146" customFormat="1"/>
    <row r="280" s="146" customFormat="1"/>
    <row r="281" s="146" customFormat="1"/>
    <row r="282" s="146" customFormat="1"/>
    <row r="283" s="146" customFormat="1"/>
    <row r="284" s="146" customFormat="1"/>
    <row r="285" s="146" customFormat="1"/>
    <row r="286" s="146" customFormat="1"/>
    <row r="287" s="146" customFormat="1"/>
    <row r="288" s="146" customFormat="1"/>
    <row r="289" s="146" customFormat="1"/>
    <row r="290" s="146" customFormat="1"/>
    <row r="291" s="146" customFormat="1"/>
    <row r="292" s="146" customFormat="1"/>
    <row r="293" s="146" customFormat="1"/>
    <row r="294" s="146" customFormat="1"/>
    <row r="295" s="146" customFormat="1"/>
    <row r="296" s="146" customFormat="1"/>
    <row r="297" s="146" customFormat="1"/>
    <row r="298" s="146" customFormat="1"/>
    <row r="299" s="146" customFormat="1"/>
    <row r="300" s="146" customFormat="1"/>
    <row r="301" s="146" customFormat="1"/>
    <row r="302" s="146" customFormat="1"/>
    <row r="303" s="146" customFormat="1"/>
    <row r="304" s="146" customFormat="1"/>
    <row r="305" s="146" customFormat="1"/>
    <row r="306" s="146" customFormat="1"/>
    <row r="307" s="146" customFormat="1"/>
    <row r="308" s="146" customFormat="1"/>
    <row r="309" s="146" customFormat="1"/>
    <row r="310" s="146" customFormat="1"/>
    <row r="311" s="146" customFormat="1"/>
    <row r="312" s="146" customFormat="1"/>
    <row r="313" s="146" customFormat="1"/>
    <row r="314" s="146" customFormat="1"/>
    <row r="315" s="146" customFormat="1"/>
    <row r="316" s="146" customFormat="1"/>
    <row r="317" s="146" customFormat="1"/>
    <row r="318" s="146" customFormat="1"/>
    <row r="319" s="146" customFormat="1"/>
    <row r="320" s="146" customFormat="1"/>
    <row r="321" s="146" customFormat="1"/>
    <row r="322" s="146" customFormat="1"/>
    <row r="323" s="146" customFormat="1"/>
    <row r="324" s="146" customFormat="1"/>
    <row r="325" s="146" customFormat="1"/>
    <row r="326" s="146" customFormat="1"/>
    <row r="327" s="146" customFormat="1"/>
    <row r="328" s="146" customFormat="1"/>
    <row r="329" s="146" customFormat="1"/>
    <row r="330" s="146" customFormat="1"/>
    <row r="331" s="146" customFormat="1"/>
    <row r="332" s="146" customFormat="1"/>
    <row r="333" s="146" customFormat="1"/>
    <row r="334" s="146" customFormat="1"/>
    <row r="335" s="146" customFormat="1"/>
    <row r="336" s="146" customFormat="1"/>
    <row r="337" s="146" customFormat="1"/>
    <row r="338" s="146" customFormat="1"/>
    <row r="339" s="146" customFormat="1"/>
    <row r="340" s="146" customFormat="1"/>
    <row r="341" s="146" customFormat="1"/>
    <row r="342" s="146" customFormat="1"/>
    <row r="343" s="146" customFormat="1"/>
    <row r="344" s="146" customFormat="1"/>
    <row r="345" s="146" customFormat="1"/>
    <row r="346" s="146" customFormat="1"/>
    <row r="347" s="146" customFormat="1"/>
    <row r="348" s="146" customFormat="1"/>
    <row r="349" s="146" customFormat="1"/>
    <row r="350" s="146" customFormat="1"/>
    <row r="351" s="146" customFormat="1"/>
    <row r="352" s="146" customFormat="1"/>
    <row r="353" s="146" customFormat="1"/>
    <row r="354" s="146" customFormat="1"/>
    <row r="355" s="146" customFormat="1"/>
    <row r="356" s="146" customFormat="1"/>
    <row r="357" s="146" customFormat="1"/>
    <row r="358" s="146" customFormat="1"/>
    <row r="359" s="146" customFormat="1"/>
    <row r="360" s="146" customFormat="1"/>
    <row r="361" s="146" customFormat="1"/>
    <row r="362" s="146" customFormat="1"/>
    <row r="363" s="146" customFormat="1"/>
    <row r="364" s="146" customFormat="1"/>
    <row r="365" s="146" customFormat="1"/>
    <row r="366" s="146" customFormat="1"/>
    <row r="367" s="146" customFormat="1"/>
    <row r="368" s="146" customFormat="1"/>
    <row r="369" s="146" customFormat="1"/>
    <row r="370" s="146" customFormat="1"/>
    <row r="371" s="146" customFormat="1"/>
    <row r="372" s="146" customFormat="1"/>
    <row r="373" s="146" customFormat="1"/>
    <row r="374" s="146" customFormat="1"/>
    <row r="375" s="146" customFormat="1"/>
    <row r="376" s="146" customFormat="1"/>
    <row r="377" s="146" customFormat="1"/>
    <row r="378" s="146" customFormat="1"/>
    <row r="379" s="146" customFormat="1"/>
    <row r="380" s="146" customFormat="1"/>
    <row r="381" s="146" customFormat="1"/>
    <row r="382" s="146" customFormat="1"/>
    <row r="383" s="146" customFormat="1"/>
    <row r="384" s="146" customFormat="1"/>
    <row r="385" s="146" customFormat="1"/>
    <row r="386" s="146" customFormat="1"/>
    <row r="387" s="146" customFormat="1"/>
    <row r="388" s="146" customFormat="1"/>
    <row r="389" s="146" customFormat="1"/>
    <row r="390" s="146" customFormat="1"/>
    <row r="391" s="146" customFormat="1"/>
    <row r="392" s="146" customFormat="1"/>
    <row r="393" s="146" customFormat="1"/>
    <row r="394" s="146" customFormat="1"/>
    <row r="395" s="146" customFormat="1"/>
    <row r="396" s="146" customFormat="1"/>
    <row r="397" s="146" customFormat="1"/>
    <row r="398" s="146" customFormat="1"/>
    <row r="399" s="146" customFormat="1"/>
    <row r="400" s="146" customFormat="1"/>
    <row r="401" s="146" customFormat="1"/>
    <row r="402" s="146" customFormat="1"/>
    <row r="403" s="146" customFormat="1"/>
    <row r="404" s="146" customFormat="1"/>
    <row r="405" s="146" customFormat="1"/>
    <row r="406" s="146" customFormat="1"/>
    <row r="407" s="146" customFormat="1"/>
    <row r="408" s="146" customFormat="1"/>
    <row r="409" s="146" customFormat="1"/>
    <row r="410" s="146" customFormat="1"/>
    <row r="411" s="146" customFormat="1"/>
    <row r="412" s="146" customFormat="1"/>
    <row r="413" s="146" customFormat="1"/>
    <row r="414" s="146" customFormat="1"/>
    <row r="415" s="146" customFormat="1"/>
    <row r="416" s="146" customFormat="1"/>
    <row r="417" s="146" customFormat="1"/>
    <row r="418" s="146" customFormat="1"/>
    <row r="419" s="146" customFormat="1"/>
    <row r="420" s="146" customFormat="1"/>
    <row r="421" s="146" customFormat="1"/>
    <row r="422" s="146" customFormat="1"/>
    <row r="423" s="146" customFormat="1"/>
    <row r="424" s="146" customFormat="1"/>
    <row r="425" s="146" customFormat="1"/>
    <row r="426" s="146" customFormat="1"/>
    <row r="427" s="146" customFormat="1"/>
    <row r="428" s="146" customFormat="1"/>
    <row r="429" s="146" customFormat="1"/>
    <row r="430" s="146" customFormat="1"/>
    <row r="431" s="146" customFormat="1"/>
    <row r="432" s="146" customFormat="1"/>
    <row r="433" s="146" customFormat="1"/>
    <row r="434" s="146" customFormat="1"/>
    <row r="435" s="146" customFormat="1"/>
    <row r="436" s="146" customFormat="1"/>
    <row r="437" s="146" customFormat="1"/>
    <row r="438" s="146" customFormat="1"/>
    <row r="439" s="146" customFormat="1"/>
    <row r="440" s="146" customFormat="1"/>
    <row r="441" s="146" customFormat="1"/>
    <row r="442" s="146" customFormat="1"/>
    <row r="443" s="146" customFormat="1"/>
    <row r="444" s="146" customFormat="1"/>
    <row r="445" s="146" customFormat="1"/>
    <row r="446" s="146" customFormat="1"/>
    <row r="447" s="146" customFormat="1"/>
    <row r="448" s="146" customFormat="1"/>
    <row r="449" s="146" customFormat="1"/>
    <row r="450" s="146" customFormat="1"/>
    <row r="451" s="146" customFormat="1"/>
    <row r="452" s="146" customFormat="1"/>
    <row r="453" s="146" customFormat="1"/>
    <row r="454" s="146" customFormat="1"/>
    <row r="455" s="146" customFormat="1"/>
    <row r="456" s="146" customFormat="1"/>
    <row r="457" s="146" customFormat="1"/>
    <row r="458" s="146" customFormat="1"/>
    <row r="459" s="146" customFormat="1"/>
    <row r="460" s="146" customFormat="1"/>
    <row r="461" s="146" customFormat="1"/>
    <row r="462" s="146" customFormat="1"/>
    <row r="463" s="146" customFormat="1"/>
    <row r="464" s="146" customFormat="1"/>
    <row r="465" s="146" customFormat="1"/>
    <row r="466" s="146" customFormat="1"/>
    <row r="467" s="146" customFormat="1"/>
    <row r="468" s="146" customFormat="1"/>
    <row r="469" s="146" customFormat="1"/>
    <row r="470" s="146" customFormat="1"/>
    <row r="471" s="146" customFormat="1"/>
    <row r="472" s="146" customFormat="1"/>
    <row r="473" s="146" customFormat="1"/>
    <row r="474" s="146" customFormat="1"/>
    <row r="475" s="146" customFormat="1"/>
    <row r="476" s="146" customFormat="1"/>
    <row r="477" s="146" customFormat="1"/>
    <row r="478" s="146" customFormat="1"/>
    <row r="479" s="146" customFormat="1"/>
    <row r="480" s="146" customFormat="1"/>
    <row r="481" s="146" customFormat="1"/>
    <row r="482" s="146" customFormat="1"/>
    <row r="483" s="146" customFormat="1"/>
    <row r="484" s="146" customFormat="1"/>
    <row r="485" s="146" customFormat="1"/>
    <row r="486" s="146" customFormat="1"/>
    <row r="487" s="146" customFormat="1"/>
    <row r="488" s="146" customFormat="1"/>
    <row r="489" s="146" customFormat="1"/>
    <row r="490" s="146" customFormat="1"/>
    <row r="491" s="146" customFormat="1"/>
    <row r="492" s="146" customFormat="1"/>
    <row r="493" s="146" customFormat="1"/>
    <row r="494" s="146" customFormat="1"/>
    <row r="495" s="146" customFormat="1"/>
    <row r="496" s="146" customFormat="1"/>
    <row r="497" s="146" customFormat="1"/>
    <row r="498" s="146" customFormat="1"/>
    <row r="499" s="146" customFormat="1"/>
    <row r="500" s="146" customFormat="1"/>
    <row r="501" s="146" customFormat="1"/>
    <row r="502" s="146" customFormat="1"/>
    <row r="503" s="146" customFormat="1"/>
    <row r="504" s="146" customFormat="1"/>
    <row r="505" s="146" customFormat="1"/>
    <row r="506" s="146" customFormat="1"/>
    <row r="507" s="146" customFormat="1"/>
    <row r="508" s="146" customFormat="1"/>
    <row r="509" s="146" customFormat="1"/>
    <row r="510" s="146" customFormat="1"/>
    <row r="511" s="146" customFormat="1"/>
    <row r="512" s="146" customFormat="1"/>
    <row r="513" s="146" customFormat="1"/>
    <row r="514" s="146" customFormat="1"/>
    <row r="515" s="146" customFormat="1"/>
    <row r="516" s="146" customFormat="1"/>
    <row r="517" s="146" customFormat="1"/>
    <row r="518" s="146" customFormat="1"/>
    <row r="519" s="146" customFormat="1"/>
    <row r="520" s="146" customFormat="1"/>
    <row r="521" s="146" customFormat="1"/>
    <row r="522" s="146" customFormat="1"/>
    <row r="523" s="146" customFormat="1"/>
    <row r="524" s="146" customFormat="1"/>
    <row r="525" s="146" customFormat="1"/>
    <row r="526" s="146" customFormat="1"/>
    <row r="527" s="146" customFormat="1"/>
    <row r="528" s="146" customFormat="1"/>
    <row r="529" s="146" customFormat="1"/>
    <row r="530" s="146" customFormat="1"/>
    <row r="531" s="146" customFormat="1"/>
    <row r="532" s="146" customFormat="1"/>
    <row r="533" s="146" customFormat="1"/>
    <row r="534" s="146" customFormat="1"/>
    <row r="535" s="146" customFormat="1"/>
    <row r="536" s="146" customFormat="1"/>
    <row r="537" s="146" customFormat="1"/>
    <row r="538" s="146" customFormat="1"/>
    <row r="539" s="146" customFormat="1"/>
    <row r="540" s="146" customFormat="1"/>
    <row r="541" s="146" customFormat="1"/>
    <row r="542" s="146" customFormat="1"/>
    <row r="543" s="146" customFormat="1"/>
    <row r="544" s="146" customFormat="1"/>
    <row r="545" s="146" customFormat="1"/>
    <row r="546" s="146" customFormat="1"/>
    <row r="547" s="146" customFormat="1"/>
    <row r="548" s="146" customFormat="1"/>
    <row r="549" s="146" customFormat="1"/>
    <row r="550" s="146" customFormat="1"/>
    <row r="551" s="146" customFormat="1"/>
    <row r="552" s="146" customFormat="1"/>
    <row r="553" s="146" customFormat="1"/>
    <row r="554" s="146" customFormat="1"/>
    <row r="555" s="146" customFormat="1"/>
    <row r="556" s="146" customFormat="1"/>
    <row r="557" s="146" customFormat="1"/>
    <row r="558" s="146" customFormat="1"/>
    <row r="559" s="146" customFormat="1"/>
    <row r="560" s="146" customFormat="1"/>
    <row r="561" s="146" customFormat="1"/>
    <row r="562" s="146" customFormat="1"/>
    <row r="563" s="146" customFormat="1"/>
    <row r="564" s="146" customFormat="1"/>
    <row r="565" s="146" customFormat="1"/>
    <row r="566" s="146" customFormat="1"/>
    <row r="567" s="146" customFormat="1"/>
    <row r="568" s="146" customFormat="1"/>
    <row r="569" s="146" customFormat="1"/>
    <row r="570" s="146" customFormat="1"/>
    <row r="571" s="146" customFormat="1"/>
    <row r="572" s="146" customFormat="1"/>
    <row r="573" s="146" customFormat="1"/>
    <row r="574" s="146" customFormat="1"/>
    <row r="575" s="146" customFormat="1"/>
    <row r="576" s="146" customFormat="1"/>
    <row r="577" s="146" customFormat="1"/>
    <row r="578" s="146" customFormat="1"/>
    <row r="579" s="146" customFormat="1"/>
    <row r="580" s="146" customFormat="1"/>
    <row r="581" s="146" customFormat="1"/>
    <row r="582" s="146" customFormat="1"/>
    <row r="583" s="146" customFormat="1"/>
    <row r="584" s="146" customFormat="1"/>
    <row r="585" s="146" customFormat="1"/>
    <row r="586" s="146" customFormat="1"/>
    <row r="587" s="146" customFormat="1"/>
    <row r="588" s="146" customFormat="1"/>
    <row r="589" s="146" customFormat="1"/>
    <row r="590" s="146" customFormat="1"/>
    <row r="591" s="146" customFormat="1"/>
    <row r="592" s="146" customFormat="1"/>
    <row r="593" s="146" customFormat="1"/>
    <row r="594" s="146" customFormat="1"/>
  </sheetData>
  <protectedRanges>
    <protectedRange sqref="AA14:AE14" name="Rozstęp1_7_1"/>
  </protectedRanges>
  <hyperlinks>
    <hyperlink ref="AD37" location="'Spis treści_Contents'!A1" display="spis treści"/>
    <hyperlink ref="AD38" location="'Spis treści_Contents'!A1" display="contents"/>
    <hyperlink ref="AM1" location="'Spis treści_Contents'!A1" display="spis treści"/>
    <hyperlink ref="AM2" location="'Spis treści_Contents'!A1" display="contents"/>
  </hyperlinks>
  <pageMargins left="0.70866141732283472" right="0.70866141732283472" top="0.74803149606299213" bottom="0.74803149606299213" header="0.31496062992125984" footer="0.31496062992125984"/>
  <pageSetup paperSize="9" scale="54" fitToHeight="0" orientation="portrait"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97"/>
  <sheetViews>
    <sheetView view="pageBreakPreview" topLeftCell="A16" zoomScaleNormal="100" zoomScaleSheetLayoutView="100" workbookViewId="0">
      <pane xSplit="1" topLeftCell="B1" activePane="topRight" state="frozen"/>
      <selection pane="topRight" activeCell="AW50" sqref="AW50"/>
    </sheetView>
  </sheetViews>
  <sheetFormatPr defaultRowHeight="13.5"/>
  <cols>
    <col min="1" max="1" width="56" style="33" customWidth="1"/>
    <col min="2" max="2" width="53.140625" style="33" customWidth="1"/>
    <col min="3" max="37" width="15.7109375" style="33" hidden="1" customWidth="1"/>
    <col min="38" max="38" width="4" style="33" hidden="1" customWidth="1"/>
    <col min="39" max="43" width="15.7109375" style="33" customWidth="1"/>
    <col min="44" max="45" width="11.42578125" style="145" bestFit="1" customWidth="1"/>
    <col min="46" max="75" width="9.140625" style="145"/>
    <col min="76" max="16384" width="9.140625" style="33"/>
  </cols>
  <sheetData>
    <row r="1" spans="1:75" ht="17.25" customHeight="1">
      <c r="A1" s="17" t="s">
        <v>387</v>
      </c>
      <c r="B1" s="17" t="s">
        <v>388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392" t="s">
        <v>800</v>
      </c>
    </row>
    <row r="2" spans="1:75" s="48" customFormat="1" ht="12" customHeight="1">
      <c r="A2" s="8"/>
      <c r="B2" s="8"/>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392" t="s">
        <v>801</v>
      </c>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row>
    <row r="3" spans="1:75" s="48" customFormat="1" ht="12" customHeight="1" thickBot="1">
      <c r="A3" s="8"/>
      <c r="B3" s="8"/>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39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row>
    <row r="4" spans="1:75" s="133" customFormat="1" ht="20.25" customHeight="1" thickBot="1">
      <c r="A4" s="343" t="s">
        <v>365</v>
      </c>
      <c r="B4" s="305" t="s">
        <v>182</v>
      </c>
      <c r="C4" s="794" t="s">
        <v>304</v>
      </c>
      <c r="D4" s="794" t="s">
        <v>303</v>
      </c>
      <c r="E4" s="794" t="s">
        <v>302</v>
      </c>
      <c r="F4" s="794" t="s">
        <v>301</v>
      </c>
      <c r="G4" s="794" t="s">
        <v>297</v>
      </c>
      <c r="H4" s="794" t="s">
        <v>298</v>
      </c>
      <c r="I4" s="794" t="s">
        <v>299</v>
      </c>
      <c r="J4" s="794" t="s">
        <v>300</v>
      </c>
      <c r="K4" s="794" t="s">
        <v>296</v>
      </c>
      <c r="L4" s="794" t="s">
        <v>295</v>
      </c>
      <c r="M4" s="794" t="s">
        <v>294</v>
      </c>
      <c r="N4" s="794" t="s">
        <v>293</v>
      </c>
      <c r="O4" s="794" t="s">
        <v>292</v>
      </c>
      <c r="P4" s="794" t="s">
        <v>291</v>
      </c>
      <c r="Q4" s="794" t="s">
        <v>290</v>
      </c>
      <c r="R4" s="794" t="s">
        <v>289</v>
      </c>
      <c r="S4" s="794" t="s">
        <v>288</v>
      </c>
      <c r="T4" s="794" t="s">
        <v>287</v>
      </c>
      <c r="U4" s="794" t="s">
        <v>286</v>
      </c>
      <c r="V4" s="794" t="s">
        <v>285</v>
      </c>
      <c r="W4" s="794" t="s">
        <v>281</v>
      </c>
      <c r="X4" s="794" t="s">
        <v>282</v>
      </c>
      <c r="Y4" s="794" t="s">
        <v>283</v>
      </c>
      <c r="Z4" s="794" t="s">
        <v>284</v>
      </c>
      <c r="AA4" s="794" t="s">
        <v>277</v>
      </c>
      <c r="AB4" s="794" t="s">
        <v>278</v>
      </c>
      <c r="AC4" s="794" t="s">
        <v>279</v>
      </c>
      <c r="AD4" s="794" t="s">
        <v>280</v>
      </c>
      <c r="AE4" s="794" t="s">
        <v>274</v>
      </c>
      <c r="AF4" s="794" t="s">
        <v>275</v>
      </c>
      <c r="AG4" s="794" t="s">
        <v>276</v>
      </c>
      <c r="AH4" s="794" t="s">
        <v>256</v>
      </c>
      <c r="AI4" s="794" t="s">
        <v>273</v>
      </c>
      <c r="AJ4" s="794" t="s">
        <v>272</v>
      </c>
      <c r="AK4" s="794" t="s">
        <v>255</v>
      </c>
      <c r="AL4" s="794"/>
      <c r="AM4" s="794" t="s">
        <v>737</v>
      </c>
      <c r="AN4" s="794" t="s">
        <v>270</v>
      </c>
      <c r="AO4" s="794" t="s">
        <v>269</v>
      </c>
      <c r="AP4" s="794" t="s">
        <v>268</v>
      </c>
      <c r="AQ4" s="795" t="s">
        <v>565</v>
      </c>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row>
    <row r="5" spans="1:75" s="54" customFormat="1" ht="30" customHeight="1">
      <c r="A5" s="914" t="s">
        <v>641</v>
      </c>
      <c r="B5" s="915" t="s">
        <v>649</v>
      </c>
      <c r="C5" s="916"/>
      <c r="D5" s="916"/>
      <c r="E5" s="916"/>
      <c r="F5" s="916"/>
      <c r="G5" s="916"/>
      <c r="H5" s="916"/>
      <c r="I5" s="916"/>
      <c r="J5" s="916"/>
      <c r="K5" s="916"/>
      <c r="L5" s="916"/>
      <c r="M5" s="916"/>
      <c r="N5" s="916"/>
      <c r="O5" s="916"/>
      <c r="P5" s="917"/>
      <c r="Q5" s="916"/>
      <c r="R5" s="916"/>
      <c r="S5" s="916"/>
      <c r="T5" s="916"/>
      <c r="U5" s="916"/>
      <c r="V5" s="916"/>
      <c r="W5" s="916"/>
      <c r="X5" s="916"/>
      <c r="Y5" s="916"/>
      <c r="Z5" s="916"/>
      <c r="AA5" s="916"/>
      <c r="AB5" s="916"/>
      <c r="AC5" s="916"/>
      <c r="AD5" s="916"/>
      <c r="AE5" s="916"/>
      <c r="AF5" s="916"/>
      <c r="AG5" s="916"/>
      <c r="AH5" s="916"/>
      <c r="AI5" s="916"/>
      <c r="AJ5" s="916"/>
      <c r="AK5" s="916"/>
      <c r="AL5" s="916"/>
      <c r="AM5" s="845">
        <f>AM6+AM14+AM22+AM30+AM38</f>
        <v>210046</v>
      </c>
      <c r="AN5" s="918">
        <f>AN6+AN14+AN22+AN30+AN38</f>
        <v>212787</v>
      </c>
      <c r="AO5" s="918">
        <f>AO6+AO14+AO22+AO30+AO38</f>
        <v>215487</v>
      </c>
      <c r="AP5" s="918">
        <f>AP6+AP14+AP22+AP30+AP38</f>
        <v>219068</v>
      </c>
      <c r="AQ5" s="919">
        <f>AQ6+AQ14+AQ22+AQ30+AQ38</f>
        <v>222009</v>
      </c>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row>
    <row r="6" spans="1:75" s="55" customFormat="1">
      <c r="A6" s="831" t="s">
        <v>575</v>
      </c>
      <c r="B6" s="889" t="s">
        <v>627</v>
      </c>
      <c r="C6" s="890"/>
      <c r="D6" s="890"/>
      <c r="E6" s="890"/>
      <c r="F6" s="890"/>
      <c r="G6" s="890"/>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04">
        <f>SUM(AM7:AM9)</f>
        <v>108837</v>
      </c>
      <c r="AN6" s="891">
        <f t="shared" ref="AN6:AQ6" si="0">SUM(AN7:AN9)</f>
        <v>109729</v>
      </c>
      <c r="AO6" s="891">
        <f t="shared" si="0"/>
        <v>111688</v>
      </c>
      <c r="AP6" s="891">
        <f t="shared" si="0"/>
        <v>113018</v>
      </c>
      <c r="AQ6" s="892">
        <f t="shared" si="0"/>
        <v>114781</v>
      </c>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row>
    <row r="7" spans="1:75" s="111" customFormat="1" ht="12">
      <c r="A7" s="507" t="s">
        <v>646</v>
      </c>
      <c r="B7" s="893" t="s">
        <v>650</v>
      </c>
      <c r="C7" s="894"/>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920">
        <v>100205</v>
      </c>
      <c r="AN7" s="895">
        <v>101505</v>
      </c>
      <c r="AO7" s="895">
        <v>104192</v>
      </c>
      <c r="AP7" s="895">
        <v>105554</v>
      </c>
      <c r="AQ7" s="896">
        <v>106561</v>
      </c>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row>
    <row r="8" spans="1:75" s="111" customFormat="1" ht="12">
      <c r="A8" s="507" t="s">
        <v>647</v>
      </c>
      <c r="B8" s="893" t="s">
        <v>651</v>
      </c>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920">
        <v>5016</v>
      </c>
      <c r="AN8" s="895">
        <v>4659</v>
      </c>
      <c r="AO8" s="895">
        <v>4862</v>
      </c>
      <c r="AP8" s="895">
        <v>5131</v>
      </c>
      <c r="AQ8" s="896">
        <v>5960</v>
      </c>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row>
    <row r="9" spans="1:75" s="111" customFormat="1" ht="12">
      <c r="A9" s="507" t="s">
        <v>648</v>
      </c>
      <c r="B9" s="893" t="s">
        <v>652</v>
      </c>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920">
        <v>3616</v>
      </c>
      <c r="AN9" s="895">
        <v>3565</v>
      </c>
      <c r="AO9" s="895">
        <v>2634</v>
      </c>
      <c r="AP9" s="895">
        <v>2333</v>
      </c>
      <c r="AQ9" s="896">
        <v>2260</v>
      </c>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row>
    <row r="10" spans="1:75">
      <c r="A10" s="897" t="s">
        <v>569</v>
      </c>
      <c r="B10" s="522" t="s">
        <v>657</v>
      </c>
      <c r="C10" s="898"/>
      <c r="D10" s="898"/>
      <c r="E10" s="898"/>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26">
        <f>SUM(AM11:AM13)</f>
        <v>-3030</v>
      </c>
      <c r="AN10" s="532">
        <f t="shared" ref="AN10:AQ10" si="1">SUM(AN11:AN13)</f>
        <v>-3076</v>
      </c>
      <c r="AO10" s="532">
        <f t="shared" si="1"/>
        <v>-2354</v>
      </c>
      <c r="AP10" s="532">
        <f t="shared" si="1"/>
        <v>-2021</v>
      </c>
      <c r="AQ10" s="534">
        <f t="shared" si="1"/>
        <v>-2012</v>
      </c>
    </row>
    <row r="11" spans="1:75" s="111" customFormat="1" ht="12">
      <c r="A11" s="507" t="s">
        <v>646</v>
      </c>
      <c r="B11" s="893" t="s">
        <v>650</v>
      </c>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920">
        <v>-55</v>
      </c>
      <c r="AN11" s="895">
        <v>-65</v>
      </c>
      <c r="AO11" s="895">
        <v>-62</v>
      </c>
      <c r="AP11" s="895">
        <v>-61</v>
      </c>
      <c r="AQ11" s="896">
        <v>-54</v>
      </c>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row>
    <row r="12" spans="1:75" s="111" customFormat="1" ht="12">
      <c r="A12" s="507" t="s">
        <v>647</v>
      </c>
      <c r="B12" s="893" t="s">
        <v>651</v>
      </c>
      <c r="C12" s="894"/>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894"/>
      <c r="AJ12" s="894"/>
      <c r="AK12" s="894"/>
      <c r="AL12" s="894"/>
      <c r="AM12" s="920">
        <v>-435</v>
      </c>
      <c r="AN12" s="895">
        <v>-432</v>
      </c>
      <c r="AO12" s="895">
        <v>-531</v>
      </c>
      <c r="AP12" s="895">
        <v>-499</v>
      </c>
      <c r="AQ12" s="896">
        <v>-538</v>
      </c>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row>
    <row r="13" spans="1:75" s="111" customFormat="1" ht="12">
      <c r="A13" s="507" t="s">
        <v>648</v>
      </c>
      <c r="B13" s="893" t="s">
        <v>652</v>
      </c>
      <c r="C13" s="894"/>
      <c r="D13" s="894"/>
      <c r="E13" s="894"/>
      <c r="F13" s="894"/>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920">
        <v>-2540</v>
      </c>
      <c r="AN13" s="895">
        <v>-2579</v>
      </c>
      <c r="AO13" s="895">
        <v>-1761</v>
      </c>
      <c r="AP13" s="895">
        <v>-1461</v>
      </c>
      <c r="AQ13" s="896">
        <v>-1420</v>
      </c>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row>
    <row r="14" spans="1:75" s="55" customFormat="1">
      <c r="A14" s="831" t="s">
        <v>643</v>
      </c>
      <c r="B14" s="889" t="s">
        <v>654</v>
      </c>
      <c r="C14" s="890"/>
      <c r="D14" s="890"/>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04">
        <f>SUM(AM15:AM17)</f>
        <v>61484</v>
      </c>
      <c r="AN14" s="891">
        <f t="shared" ref="AN14:AQ14" si="2">SUM(AN15:AN17)</f>
        <v>63425</v>
      </c>
      <c r="AO14" s="891">
        <f t="shared" si="2"/>
        <v>62330</v>
      </c>
      <c r="AP14" s="891">
        <f t="shared" si="2"/>
        <v>64134</v>
      </c>
      <c r="AQ14" s="892">
        <f t="shared" si="2"/>
        <v>64910</v>
      </c>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row>
    <row r="15" spans="1:75" s="111" customFormat="1" ht="12">
      <c r="A15" s="507" t="s">
        <v>646</v>
      </c>
      <c r="B15" s="893" t="s">
        <v>650</v>
      </c>
      <c r="C15" s="894"/>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920">
        <v>47757</v>
      </c>
      <c r="AN15" s="895">
        <v>49927</v>
      </c>
      <c r="AO15" s="895">
        <v>49785</v>
      </c>
      <c r="AP15" s="895">
        <v>51762</v>
      </c>
      <c r="AQ15" s="896">
        <v>52638</v>
      </c>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row>
    <row r="16" spans="1:75" s="111" customFormat="1" ht="12">
      <c r="A16" s="507" t="s">
        <v>647</v>
      </c>
      <c r="B16" s="893" t="s">
        <v>651</v>
      </c>
      <c r="C16" s="894"/>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920">
        <v>5870</v>
      </c>
      <c r="AN16" s="895">
        <v>5409</v>
      </c>
      <c r="AO16" s="895">
        <v>5707</v>
      </c>
      <c r="AP16" s="895">
        <v>5684</v>
      </c>
      <c r="AQ16" s="896">
        <v>5703</v>
      </c>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row>
    <row r="17" spans="1:75" s="111" customFormat="1" ht="12">
      <c r="A17" s="507" t="s">
        <v>648</v>
      </c>
      <c r="B17" s="893" t="s">
        <v>652</v>
      </c>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920">
        <v>7857</v>
      </c>
      <c r="AN17" s="895">
        <v>8089</v>
      </c>
      <c r="AO17" s="895">
        <v>6838</v>
      </c>
      <c r="AP17" s="895">
        <v>6688</v>
      </c>
      <c r="AQ17" s="896">
        <v>6569</v>
      </c>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row>
    <row r="18" spans="1:75">
      <c r="A18" s="897" t="s">
        <v>569</v>
      </c>
      <c r="B18" s="522" t="s">
        <v>657</v>
      </c>
      <c r="C18" s="898"/>
      <c r="D18" s="898"/>
      <c r="E18" s="898"/>
      <c r="F18" s="898"/>
      <c r="G18" s="898"/>
      <c r="H18" s="898"/>
      <c r="I18" s="898"/>
      <c r="J18" s="898"/>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26">
        <f>SUM(AM19:AM21)</f>
        <v>-5143</v>
      </c>
      <c r="AN18" s="532">
        <f t="shared" ref="AN18:AQ18" si="3">SUM(AN19:AN21)</f>
        <v>-5305</v>
      </c>
      <c r="AO18" s="532">
        <f t="shared" si="3"/>
        <v>-4240</v>
      </c>
      <c r="AP18" s="532">
        <f t="shared" si="3"/>
        <v>-4118</v>
      </c>
      <c r="AQ18" s="534">
        <f t="shared" si="3"/>
        <v>-3992</v>
      </c>
    </row>
    <row r="19" spans="1:75" s="111" customFormat="1" ht="12">
      <c r="A19" s="507" t="s">
        <v>646</v>
      </c>
      <c r="B19" s="893" t="s">
        <v>650</v>
      </c>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920">
        <v>-278</v>
      </c>
      <c r="AN19" s="895">
        <v>-297</v>
      </c>
      <c r="AO19" s="895">
        <v>-274</v>
      </c>
      <c r="AP19" s="895">
        <v>-299</v>
      </c>
      <c r="AQ19" s="896">
        <v>-318</v>
      </c>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row>
    <row r="20" spans="1:75" s="111" customFormat="1" ht="12">
      <c r="A20" s="507" t="s">
        <v>647</v>
      </c>
      <c r="B20" s="893" t="s">
        <v>651</v>
      </c>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4"/>
      <c r="AF20" s="894"/>
      <c r="AG20" s="894"/>
      <c r="AH20" s="894"/>
      <c r="AI20" s="894"/>
      <c r="AJ20" s="894"/>
      <c r="AK20" s="894"/>
      <c r="AL20" s="894"/>
      <c r="AM20" s="920">
        <v>-369</v>
      </c>
      <c r="AN20" s="895">
        <v>-368</v>
      </c>
      <c r="AO20" s="895">
        <v>-372</v>
      </c>
      <c r="AP20" s="895">
        <v>-344</v>
      </c>
      <c r="AQ20" s="896">
        <v>-320</v>
      </c>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row>
    <row r="21" spans="1:75" s="111" customFormat="1" ht="12">
      <c r="A21" s="507" t="s">
        <v>648</v>
      </c>
      <c r="B21" s="893" t="s">
        <v>652</v>
      </c>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920">
        <v>-4496</v>
      </c>
      <c r="AN21" s="895">
        <v>-4640</v>
      </c>
      <c r="AO21" s="895">
        <v>-3594</v>
      </c>
      <c r="AP21" s="895">
        <v>-3475</v>
      </c>
      <c r="AQ21" s="896">
        <v>-3354</v>
      </c>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row>
    <row r="22" spans="1:75" s="55" customFormat="1">
      <c r="A22" s="831" t="s">
        <v>573</v>
      </c>
      <c r="B22" s="889" t="s">
        <v>629</v>
      </c>
      <c r="C22" s="899"/>
      <c r="D22" s="899"/>
      <c r="E22" s="899"/>
      <c r="F22" s="899"/>
      <c r="G22" s="899"/>
      <c r="H22" s="899"/>
      <c r="I22" s="899"/>
      <c r="J22" s="899"/>
      <c r="K22" s="899"/>
      <c r="L22" s="899"/>
      <c r="M22" s="899"/>
      <c r="N22" s="899"/>
      <c r="O22" s="899"/>
      <c r="P22" s="890"/>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04">
        <f>SUM(AM23:AM25)</f>
        <v>25660</v>
      </c>
      <c r="AN22" s="900">
        <f t="shared" ref="AN22:AQ22" si="4">SUM(AN23:AN25)</f>
        <v>26063</v>
      </c>
      <c r="AO22" s="900">
        <f t="shared" si="4"/>
        <v>26644</v>
      </c>
      <c r="AP22" s="900">
        <f t="shared" si="4"/>
        <v>27292</v>
      </c>
      <c r="AQ22" s="901">
        <f t="shared" si="4"/>
        <v>27281</v>
      </c>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row>
    <row r="23" spans="1:75" s="111" customFormat="1" ht="12">
      <c r="A23" s="507" t="s">
        <v>646</v>
      </c>
      <c r="B23" s="893" t="s">
        <v>650</v>
      </c>
      <c r="C23" s="894"/>
      <c r="D23" s="894"/>
      <c r="E23" s="894"/>
      <c r="F23" s="894"/>
      <c r="G23" s="894"/>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4"/>
      <c r="AI23" s="894"/>
      <c r="AJ23" s="894"/>
      <c r="AK23" s="894"/>
      <c r="AL23" s="894"/>
      <c r="AM23" s="920">
        <v>21661</v>
      </c>
      <c r="AN23" s="895">
        <v>21922</v>
      </c>
      <c r="AO23" s="895">
        <v>22893</v>
      </c>
      <c r="AP23" s="895">
        <v>23558</v>
      </c>
      <c r="AQ23" s="896">
        <v>23664</v>
      </c>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row>
    <row r="24" spans="1:75" s="71" customFormat="1" ht="12">
      <c r="A24" s="507" t="s">
        <v>647</v>
      </c>
      <c r="B24" s="893" t="s">
        <v>651</v>
      </c>
      <c r="C24" s="902"/>
      <c r="D24" s="902"/>
      <c r="E24" s="902"/>
      <c r="F24" s="902"/>
      <c r="G24" s="902"/>
      <c r="H24" s="902"/>
      <c r="I24" s="902"/>
      <c r="J24" s="902"/>
      <c r="K24" s="902"/>
      <c r="L24" s="902"/>
      <c r="M24" s="902"/>
      <c r="N24" s="902"/>
      <c r="O24" s="902"/>
      <c r="P24" s="894"/>
      <c r="Q24" s="902"/>
      <c r="R24" s="902"/>
      <c r="S24" s="902"/>
      <c r="T24" s="902"/>
      <c r="U24" s="902"/>
      <c r="V24" s="902"/>
      <c r="W24" s="902"/>
      <c r="X24" s="902"/>
      <c r="Y24" s="902"/>
      <c r="Z24" s="902"/>
      <c r="AA24" s="902"/>
      <c r="AB24" s="902"/>
      <c r="AC24" s="902"/>
      <c r="AD24" s="902"/>
      <c r="AE24" s="902"/>
      <c r="AF24" s="902"/>
      <c r="AG24" s="902"/>
      <c r="AH24" s="902"/>
      <c r="AI24" s="902"/>
      <c r="AJ24" s="902"/>
      <c r="AK24" s="902"/>
      <c r="AL24" s="902"/>
      <c r="AM24" s="920">
        <v>1608</v>
      </c>
      <c r="AN24" s="903">
        <v>1675</v>
      </c>
      <c r="AO24" s="903">
        <v>1681</v>
      </c>
      <c r="AP24" s="903">
        <v>1797</v>
      </c>
      <c r="AQ24" s="904">
        <v>1786</v>
      </c>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row>
    <row r="25" spans="1:75" s="71" customFormat="1" ht="12">
      <c r="A25" s="507" t="s">
        <v>648</v>
      </c>
      <c r="B25" s="893" t="s">
        <v>652</v>
      </c>
      <c r="C25" s="902"/>
      <c r="D25" s="902"/>
      <c r="E25" s="902"/>
      <c r="F25" s="902"/>
      <c r="G25" s="902"/>
      <c r="H25" s="902"/>
      <c r="I25" s="902"/>
      <c r="J25" s="902"/>
      <c r="K25" s="902"/>
      <c r="L25" s="902"/>
      <c r="M25" s="902"/>
      <c r="N25" s="902"/>
      <c r="O25" s="902"/>
      <c r="P25" s="894"/>
      <c r="Q25" s="902"/>
      <c r="R25" s="902"/>
      <c r="S25" s="902"/>
      <c r="T25" s="902"/>
      <c r="U25" s="902"/>
      <c r="V25" s="902"/>
      <c r="W25" s="902"/>
      <c r="X25" s="902"/>
      <c r="Y25" s="902"/>
      <c r="Z25" s="902"/>
      <c r="AA25" s="902"/>
      <c r="AB25" s="902"/>
      <c r="AC25" s="902"/>
      <c r="AD25" s="902"/>
      <c r="AE25" s="902"/>
      <c r="AF25" s="902"/>
      <c r="AG25" s="902"/>
      <c r="AH25" s="902"/>
      <c r="AI25" s="902"/>
      <c r="AJ25" s="902"/>
      <c r="AK25" s="902"/>
      <c r="AL25" s="902"/>
      <c r="AM25" s="920">
        <v>2391</v>
      </c>
      <c r="AN25" s="903">
        <v>2466</v>
      </c>
      <c r="AO25" s="903">
        <v>2070</v>
      </c>
      <c r="AP25" s="903">
        <v>1937</v>
      </c>
      <c r="AQ25" s="904">
        <v>1831</v>
      </c>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row>
    <row r="26" spans="1:75">
      <c r="A26" s="897" t="s">
        <v>569</v>
      </c>
      <c r="B26" s="522" t="s">
        <v>657</v>
      </c>
      <c r="C26" s="8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26">
        <f>SUM(AM27:AM29)</f>
        <v>-2062</v>
      </c>
      <c r="AN26" s="532">
        <f t="shared" ref="AN26:AQ26" si="5">SUM(AN27:AN29)</f>
        <v>-2180</v>
      </c>
      <c r="AO26" s="532">
        <f t="shared" si="5"/>
        <v>-1818</v>
      </c>
      <c r="AP26" s="532">
        <f t="shared" si="5"/>
        <v>-1746</v>
      </c>
      <c r="AQ26" s="534">
        <f t="shared" si="5"/>
        <v>-1711</v>
      </c>
    </row>
    <row r="27" spans="1:75" s="111" customFormat="1" ht="12">
      <c r="A27" s="507" t="s">
        <v>646</v>
      </c>
      <c r="B27" s="893" t="s">
        <v>650</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920">
        <v>-135</v>
      </c>
      <c r="AN27" s="895">
        <v>-140</v>
      </c>
      <c r="AO27" s="895">
        <v>-148</v>
      </c>
      <c r="AP27" s="895">
        <v>-160</v>
      </c>
      <c r="AQ27" s="896">
        <v>-160</v>
      </c>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row>
    <row r="28" spans="1:75" s="111" customFormat="1" ht="12">
      <c r="A28" s="507" t="s">
        <v>647</v>
      </c>
      <c r="B28" s="893" t="s">
        <v>651</v>
      </c>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920">
        <v>-210</v>
      </c>
      <c r="AN28" s="895">
        <v>-245</v>
      </c>
      <c r="AO28" s="895">
        <v>-248</v>
      </c>
      <c r="AP28" s="895">
        <v>-271</v>
      </c>
      <c r="AQ28" s="896">
        <v>-311</v>
      </c>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row>
    <row r="29" spans="1:75" s="111" customFormat="1" ht="12">
      <c r="A29" s="507" t="s">
        <v>648</v>
      </c>
      <c r="B29" s="893" t="s">
        <v>652</v>
      </c>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920">
        <v>-1717</v>
      </c>
      <c r="AN29" s="895">
        <v>-1795</v>
      </c>
      <c r="AO29" s="895">
        <v>-1422</v>
      </c>
      <c r="AP29" s="895">
        <v>-1315</v>
      </c>
      <c r="AQ29" s="896">
        <v>-1240</v>
      </c>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row>
    <row r="30" spans="1:75" s="55" customFormat="1" ht="16.5" customHeight="1">
      <c r="A30" s="831" t="s">
        <v>644</v>
      </c>
      <c r="B30" s="889" t="s">
        <v>655</v>
      </c>
      <c r="C30" s="890"/>
      <c r="D30" s="890"/>
      <c r="E30" s="890"/>
      <c r="F30" s="890"/>
      <c r="G30" s="890"/>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0"/>
      <c r="AI30" s="890"/>
      <c r="AJ30" s="890"/>
      <c r="AK30" s="890"/>
      <c r="AL30" s="890"/>
      <c r="AM30" s="804">
        <f>SUM(AM31:AM33)</f>
        <v>902</v>
      </c>
      <c r="AN30" s="891">
        <f t="shared" ref="AN30:AQ30" si="6">SUM(AN31:AN33)</f>
        <v>26</v>
      </c>
      <c r="AO30" s="891">
        <f t="shared" si="6"/>
        <v>624</v>
      </c>
      <c r="AP30" s="891">
        <f t="shared" si="6"/>
        <v>191</v>
      </c>
      <c r="AQ30" s="892">
        <f t="shared" si="6"/>
        <v>51</v>
      </c>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row>
    <row r="31" spans="1:75" s="111" customFormat="1" ht="12.75" customHeight="1">
      <c r="A31" s="507" t="s">
        <v>646</v>
      </c>
      <c r="B31" s="893" t="s">
        <v>650</v>
      </c>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920">
        <v>902</v>
      </c>
      <c r="AN31" s="895">
        <v>26</v>
      </c>
      <c r="AO31" s="895">
        <v>624</v>
      </c>
      <c r="AP31" s="895">
        <v>191</v>
      </c>
      <c r="AQ31" s="896">
        <v>51</v>
      </c>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row>
    <row r="32" spans="1:75" s="111" customFormat="1" ht="12">
      <c r="A32" s="507" t="s">
        <v>647</v>
      </c>
      <c r="B32" s="893" t="s">
        <v>651</v>
      </c>
      <c r="C32" s="89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920"/>
      <c r="AN32" s="895"/>
      <c r="AO32" s="895"/>
      <c r="AP32" s="895"/>
      <c r="AQ32" s="896"/>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row>
    <row r="33" spans="1:75" s="111" customFormat="1" ht="12">
      <c r="A33" s="507" t="s">
        <v>648</v>
      </c>
      <c r="B33" s="893" t="s">
        <v>652</v>
      </c>
      <c r="C33" s="894"/>
      <c r="D33" s="894"/>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920"/>
      <c r="AN33" s="895"/>
      <c r="AO33" s="895"/>
      <c r="AP33" s="895"/>
      <c r="AQ33" s="896"/>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row>
    <row r="34" spans="1:75">
      <c r="A34" s="897" t="s">
        <v>569</v>
      </c>
      <c r="B34" s="522" t="s">
        <v>657</v>
      </c>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26">
        <f>SUM(AM35:AM37)</f>
        <v>0</v>
      </c>
      <c r="AN34" s="532">
        <f t="shared" ref="AN34:AQ34" si="7">SUM(AN35:AN37)</f>
        <v>0</v>
      </c>
      <c r="AO34" s="532">
        <f t="shared" si="7"/>
        <v>0</v>
      </c>
      <c r="AP34" s="532">
        <v>0</v>
      </c>
      <c r="AQ34" s="534">
        <f t="shared" si="7"/>
        <v>0</v>
      </c>
    </row>
    <row r="35" spans="1:75" s="111" customFormat="1" ht="12">
      <c r="A35" s="507" t="s">
        <v>646</v>
      </c>
      <c r="B35" s="893" t="s">
        <v>650</v>
      </c>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920"/>
      <c r="AN35" s="895"/>
      <c r="AO35" s="895"/>
      <c r="AP35" s="895"/>
      <c r="AQ35" s="896"/>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row>
    <row r="36" spans="1:75" s="111" customFormat="1" ht="12">
      <c r="A36" s="507" t="s">
        <v>647</v>
      </c>
      <c r="B36" s="893" t="s">
        <v>651</v>
      </c>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920"/>
      <c r="AN36" s="895"/>
      <c r="AO36" s="895"/>
      <c r="AP36" s="895"/>
      <c r="AQ36" s="896"/>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row>
    <row r="37" spans="1:75" s="111" customFormat="1" ht="12">
      <c r="A37" s="507" t="s">
        <v>648</v>
      </c>
      <c r="B37" s="893" t="s">
        <v>652</v>
      </c>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920"/>
      <c r="AN37" s="895"/>
      <c r="AO37" s="895"/>
      <c r="AP37" s="895"/>
      <c r="AQ37" s="896"/>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row>
    <row r="38" spans="1:75" s="113" customFormat="1">
      <c r="A38" s="831" t="s">
        <v>645</v>
      </c>
      <c r="B38" s="889" t="s">
        <v>656</v>
      </c>
      <c r="C38" s="905"/>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804">
        <f>SUM(AM39:AM41)</f>
        <v>13163</v>
      </c>
      <c r="AN38" s="891">
        <f t="shared" ref="AN38:AQ38" si="8">SUM(AN39:AN41)</f>
        <v>13544</v>
      </c>
      <c r="AO38" s="891">
        <f t="shared" si="8"/>
        <v>14201</v>
      </c>
      <c r="AP38" s="891">
        <f t="shared" si="8"/>
        <v>14433</v>
      </c>
      <c r="AQ38" s="892">
        <f t="shared" si="8"/>
        <v>14986</v>
      </c>
      <c r="AR38" s="884"/>
      <c r="AS38" s="884"/>
      <c r="AT38" s="884"/>
      <c r="AU38" s="884"/>
      <c r="AV38" s="884"/>
      <c r="AW38" s="884"/>
      <c r="AX38" s="884"/>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row>
    <row r="39" spans="1:75" s="111" customFormat="1" ht="12">
      <c r="A39" s="507" t="s">
        <v>646</v>
      </c>
      <c r="B39" s="893" t="s">
        <v>650</v>
      </c>
      <c r="C39" s="894"/>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920">
        <v>10035</v>
      </c>
      <c r="AN39" s="895">
        <v>9670</v>
      </c>
      <c r="AO39" s="895">
        <v>10702</v>
      </c>
      <c r="AP39" s="895">
        <v>10899</v>
      </c>
      <c r="AQ39" s="896">
        <v>11477</v>
      </c>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row>
    <row r="40" spans="1:75" s="111" customFormat="1" ht="12">
      <c r="A40" s="507" t="s">
        <v>647</v>
      </c>
      <c r="B40" s="893" t="s">
        <v>651</v>
      </c>
      <c r="C40" s="894"/>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920">
        <v>2336</v>
      </c>
      <c r="AN40" s="895">
        <v>3062</v>
      </c>
      <c r="AO40" s="895">
        <v>2672</v>
      </c>
      <c r="AP40" s="895">
        <v>2730</v>
      </c>
      <c r="AQ40" s="896">
        <v>2719</v>
      </c>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row>
    <row r="41" spans="1:75" s="111" customFormat="1" ht="12">
      <c r="A41" s="507" t="s">
        <v>648</v>
      </c>
      <c r="B41" s="893" t="s">
        <v>652</v>
      </c>
      <c r="C41" s="894"/>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920">
        <v>792</v>
      </c>
      <c r="AN41" s="895">
        <v>812</v>
      </c>
      <c r="AO41" s="895">
        <v>827</v>
      </c>
      <c r="AP41" s="895">
        <v>804</v>
      </c>
      <c r="AQ41" s="896">
        <v>790</v>
      </c>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row>
    <row r="42" spans="1:75">
      <c r="A42" s="897" t="s">
        <v>569</v>
      </c>
      <c r="B42" s="522" t="s">
        <v>657</v>
      </c>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26">
        <f>SUM(AM43:AM45)</f>
        <v>-418</v>
      </c>
      <c r="AN42" s="532">
        <f t="shared" ref="AN42:AQ42" si="9">SUM(AN43:AN45)</f>
        <v>-468</v>
      </c>
      <c r="AO42" s="532">
        <f t="shared" si="9"/>
        <v>-470</v>
      </c>
      <c r="AP42" s="532">
        <f t="shared" si="9"/>
        <v>-484</v>
      </c>
      <c r="AQ42" s="534">
        <f t="shared" si="9"/>
        <v>-489</v>
      </c>
    </row>
    <row r="43" spans="1:75" s="111" customFormat="1" ht="12">
      <c r="A43" s="507" t="s">
        <v>646</v>
      </c>
      <c r="B43" s="893" t="s">
        <v>650</v>
      </c>
      <c r="C43" s="894"/>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920">
        <v>-22</v>
      </c>
      <c r="AN43" s="895">
        <v>-22</v>
      </c>
      <c r="AO43" s="895">
        <v>-29</v>
      </c>
      <c r="AP43" s="895">
        <v>-32</v>
      </c>
      <c r="AQ43" s="896">
        <v>-34</v>
      </c>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row>
    <row r="44" spans="1:75" s="111" customFormat="1" ht="12">
      <c r="A44" s="507" t="s">
        <v>647</v>
      </c>
      <c r="B44" s="893" t="s">
        <v>651</v>
      </c>
      <c r="C44" s="894"/>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920">
        <v>-64</v>
      </c>
      <c r="AN44" s="895">
        <v>-77</v>
      </c>
      <c r="AO44" s="895">
        <v>-78</v>
      </c>
      <c r="AP44" s="895">
        <v>-78</v>
      </c>
      <c r="AQ44" s="896">
        <v>-80</v>
      </c>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row>
    <row r="45" spans="1:75" s="111" customFormat="1" ht="12">
      <c r="A45" s="507" t="s">
        <v>648</v>
      </c>
      <c r="B45" s="893" t="s">
        <v>652</v>
      </c>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920">
        <v>-332</v>
      </c>
      <c r="AN45" s="895">
        <v>-369</v>
      </c>
      <c r="AO45" s="895">
        <v>-363</v>
      </c>
      <c r="AP45" s="895">
        <v>-374</v>
      </c>
      <c r="AQ45" s="896">
        <v>-375</v>
      </c>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row>
    <row r="46" spans="1:75" s="54" customFormat="1" ht="30">
      <c r="A46" s="886" t="s">
        <v>642</v>
      </c>
      <c r="B46" s="546" t="s">
        <v>653</v>
      </c>
      <c r="C46" s="888"/>
      <c r="D46" s="888"/>
      <c r="E46" s="888"/>
      <c r="F46" s="888"/>
      <c r="G46" s="888"/>
      <c r="H46" s="888"/>
      <c r="I46" s="888"/>
      <c r="J46" s="888"/>
      <c r="K46" s="888"/>
      <c r="L46" s="888"/>
      <c r="M46" s="888"/>
      <c r="N46" s="888"/>
      <c r="O46" s="888"/>
      <c r="P46" s="888"/>
      <c r="Q46" s="888"/>
      <c r="R46" s="888"/>
      <c r="S46" s="888"/>
      <c r="T46" s="888"/>
      <c r="U46" s="888"/>
      <c r="V46" s="888"/>
      <c r="W46" s="888"/>
      <c r="X46" s="888"/>
      <c r="Y46" s="888"/>
      <c r="Z46" s="888"/>
      <c r="AA46" s="888"/>
      <c r="AB46" s="888"/>
      <c r="AC46" s="888"/>
      <c r="AD46" s="888"/>
      <c r="AE46" s="888"/>
      <c r="AF46" s="888"/>
      <c r="AG46" s="888"/>
      <c r="AH46" s="888"/>
      <c r="AI46" s="888"/>
      <c r="AJ46" s="888"/>
      <c r="AK46" s="888"/>
      <c r="AL46" s="888"/>
      <c r="AM46" s="799">
        <v>1070</v>
      </c>
      <c r="AN46" s="549">
        <v>1032</v>
      </c>
      <c r="AO46" s="549">
        <v>988</v>
      </c>
      <c r="AP46" s="549">
        <v>934</v>
      </c>
      <c r="AQ46" s="655">
        <v>1106</v>
      </c>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row>
    <row r="47" spans="1:75" s="111" customFormat="1" ht="12">
      <c r="A47" s="507"/>
      <c r="B47" s="893"/>
      <c r="C47" s="894"/>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920"/>
      <c r="AN47" s="895"/>
      <c r="AO47" s="895"/>
      <c r="AP47" s="895"/>
      <c r="AQ47" s="896"/>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row>
    <row r="48" spans="1:75" s="54" customFormat="1" ht="16.5" customHeight="1">
      <c r="A48" s="796" t="s">
        <v>671</v>
      </c>
      <c r="B48" s="546" t="s">
        <v>721</v>
      </c>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799">
        <f t="shared" ref="AM48:AO48" si="10">AM5+AM46</f>
        <v>211116</v>
      </c>
      <c r="AN48" s="549">
        <f t="shared" si="10"/>
        <v>213819</v>
      </c>
      <c r="AO48" s="549">
        <f t="shared" si="10"/>
        <v>216475</v>
      </c>
      <c r="AP48" s="549">
        <f>AP5+AP46</f>
        <v>220002</v>
      </c>
      <c r="AQ48" s="655">
        <f>AQ5+AQ46</f>
        <v>223115</v>
      </c>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row>
    <row r="49" spans="1:75" s="54" customFormat="1" ht="12" customHeight="1">
      <c r="A49" s="924"/>
      <c r="B49" s="925"/>
      <c r="C49" s="926"/>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7"/>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row>
    <row r="50" spans="1:75" s="112" customFormat="1" ht="30">
      <c r="A50" s="886" t="s">
        <v>641</v>
      </c>
      <c r="B50" s="887" t="s">
        <v>649</v>
      </c>
      <c r="C50" s="888"/>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799">
        <f>SUM(AM51:AM53)</f>
        <v>210046</v>
      </c>
      <c r="AN50" s="549">
        <f t="shared" ref="AN50:AO50" si="11">SUM(AN51:AN53)</f>
        <v>212787</v>
      </c>
      <c r="AO50" s="549">
        <f t="shared" si="11"/>
        <v>215487</v>
      </c>
      <c r="AP50" s="549">
        <f>SUM(AP51:AP53)</f>
        <v>219068</v>
      </c>
      <c r="AQ50" s="655">
        <f>SUM(AQ51:AQ53)</f>
        <v>222009</v>
      </c>
      <c r="AR50" s="885"/>
      <c r="AS50" s="885"/>
      <c r="AT50" s="885"/>
      <c r="AU50" s="885"/>
      <c r="AV50" s="885"/>
      <c r="AW50" s="885"/>
      <c r="AX50" s="885"/>
      <c r="AY50" s="885"/>
      <c r="AZ50" s="885"/>
      <c r="BA50" s="885"/>
      <c r="BB50" s="885"/>
      <c r="BC50" s="885"/>
      <c r="BD50" s="885"/>
      <c r="BE50" s="885"/>
      <c r="BF50" s="885"/>
      <c r="BG50" s="885"/>
      <c r="BH50" s="885"/>
      <c r="BI50" s="885"/>
      <c r="BJ50" s="885"/>
      <c r="BK50" s="885"/>
      <c r="BL50" s="885"/>
      <c r="BM50" s="885"/>
      <c r="BN50" s="885"/>
      <c r="BO50" s="885"/>
      <c r="BP50" s="885"/>
      <c r="BQ50" s="885"/>
      <c r="BR50" s="885"/>
      <c r="BS50" s="885"/>
      <c r="BT50" s="885"/>
      <c r="BU50" s="885"/>
      <c r="BV50" s="885"/>
      <c r="BW50" s="885"/>
    </row>
    <row r="51" spans="1:75" s="111" customFormat="1" ht="12">
      <c r="A51" s="507" t="s">
        <v>566</v>
      </c>
      <c r="B51" s="893" t="s">
        <v>650</v>
      </c>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c r="AD51" s="894"/>
      <c r="AE51" s="894"/>
      <c r="AF51" s="894"/>
      <c r="AG51" s="894"/>
      <c r="AH51" s="894"/>
      <c r="AI51" s="894"/>
      <c r="AJ51" s="894"/>
      <c r="AK51" s="894"/>
      <c r="AL51" s="894"/>
      <c r="AM51" s="920">
        <f t="shared" ref="AM51:AQ53" si="12">AM7+AM15+AM23+AM31+AM39</f>
        <v>180560</v>
      </c>
      <c r="AN51" s="895">
        <f t="shared" si="12"/>
        <v>183050</v>
      </c>
      <c r="AO51" s="895">
        <f t="shared" si="12"/>
        <v>188196</v>
      </c>
      <c r="AP51" s="895">
        <f t="shared" si="12"/>
        <v>191964</v>
      </c>
      <c r="AQ51" s="896">
        <f t="shared" si="12"/>
        <v>194391</v>
      </c>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row>
    <row r="52" spans="1:75" s="111" customFormat="1" ht="12">
      <c r="A52" s="507" t="s">
        <v>567</v>
      </c>
      <c r="B52" s="893" t="s">
        <v>651</v>
      </c>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920">
        <f t="shared" si="12"/>
        <v>14830</v>
      </c>
      <c r="AN52" s="895">
        <f t="shared" si="12"/>
        <v>14805</v>
      </c>
      <c r="AO52" s="895">
        <f t="shared" si="12"/>
        <v>14922</v>
      </c>
      <c r="AP52" s="895">
        <f t="shared" si="12"/>
        <v>15342</v>
      </c>
      <c r="AQ52" s="896">
        <f t="shared" si="12"/>
        <v>16168</v>
      </c>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row>
    <row r="53" spans="1:75" s="111" customFormat="1" ht="12">
      <c r="A53" s="507" t="s">
        <v>568</v>
      </c>
      <c r="B53" s="893" t="s">
        <v>652</v>
      </c>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920">
        <f t="shared" si="12"/>
        <v>14656</v>
      </c>
      <c r="AN53" s="895">
        <f t="shared" si="12"/>
        <v>14932</v>
      </c>
      <c r="AO53" s="895">
        <f t="shared" si="12"/>
        <v>12369</v>
      </c>
      <c r="AP53" s="895">
        <f t="shared" si="12"/>
        <v>11762</v>
      </c>
      <c r="AQ53" s="896">
        <f t="shared" si="12"/>
        <v>11450</v>
      </c>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row>
    <row r="54" spans="1:75" s="55" customFormat="1">
      <c r="A54" s="831" t="s">
        <v>569</v>
      </c>
      <c r="B54" s="765" t="s">
        <v>657</v>
      </c>
      <c r="C54" s="890"/>
      <c r="D54" s="890"/>
      <c r="E54" s="890"/>
      <c r="F54" s="890"/>
      <c r="G54" s="890"/>
      <c r="H54" s="890"/>
      <c r="I54" s="890"/>
      <c r="J54" s="890"/>
      <c r="K54" s="890"/>
      <c r="L54" s="890"/>
      <c r="M54" s="890"/>
      <c r="N54" s="890"/>
      <c r="O54" s="890"/>
      <c r="P54" s="890"/>
      <c r="Q54" s="890"/>
      <c r="R54" s="890"/>
      <c r="S54" s="890"/>
      <c r="T54" s="890"/>
      <c r="U54" s="890"/>
      <c r="V54" s="890"/>
      <c r="W54" s="890"/>
      <c r="X54" s="890"/>
      <c r="Y54" s="890"/>
      <c r="Z54" s="890"/>
      <c r="AA54" s="890"/>
      <c r="AB54" s="890"/>
      <c r="AC54" s="890"/>
      <c r="AD54" s="890"/>
      <c r="AE54" s="890"/>
      <c r="AF54" s="890"/>
      <c r="AG54" s="890"/>
      <c r="AH54" s="890"/>
      <c r="AI54" s="890"/>
      <c r="AJ54" s="890"/>
      <c r="AK54" s="890"/>
      <c r="AL54" s="890"/>
      <c r="AM54" s="804">
        <f>SUM(AM55:AM57)</f>
        <v>-10653</v>
      </c>
      <c r="AN54" s="891">
        <f t="shared" ref="AN54:AQ54" si="13">SUM(AN55:AN57)</f>
        <v>-11029</v>
      </c>
      <c r="AO54" s="891">
        <f t="shared" si="13"/>
        <v>-8882</v>
      </c>
      <c r="AP54" s="891">
        <f t="shared" si="13"/>
        <v>-8369</v>
      </c>
      <c r="AQ54" s="892">
        <f t="shared" si="13"/>
        <v>-8204</v>
      </c>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row>
    <row r="55" spans="1:75" s="71" customFormat="1" ht="12">
      <c r="A55" s="507" t="s">
        <v>566</v>
      </c>
      <c r="B55" s="893" t="s">
        <v>650</v>
      </c>
      <c r="C55" s="894"/>
      <c r="D55" s="894"/>
      <c r="E55" s="894"/>
      <c r="F55" s="894"/>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4"/>
      <c r="AL55" s="894"/>
      <c r="AM55" s="920">
        <f t="shared" ref="AM55:AQ56" si="14">AM11+AM19+AM27+AM35+AM43</f>
        <v>-490</v>
      </c>
      <c r="AN55" s="895">
        <f t="shared" si="14"/>
        <v>-524</v>
      </c>
      <c r="AO55" s="895">
        <f t="shared" si="14"/>
        <v>-513</v>
      </c>
      <c r="AP55" s="895">
        <f t="shared" si="14"/>
        <v>-552</v>
      </c>
      <c r="AQ55" s="896">
        <f t="shared" si="14"/>
        <v>-566</v>
      </c>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row>
    <row r="56" spans="1:75" s="71" customFormat="1" ht="12">
      <c r="A56" s="507" t="s">
        <v>567</v>
      </c>
      <c r="B56" s="893" t="s">
        <v>651</v>
      </c>
      <c r="C56" s="894"/>
      <c r="D56" s="894"/>
      <c r="E56" s="894"/>
      <c r="F56" s="894"/>
      <c r="G56" s="894"/>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920">
        <f t="shared" si="14"/>
        <v>-1078</v>
      </c>
      <c r="AN56" s="895">
        <f t="shared" si="14"/>
        <v>-1122</v>
      </c>
      <c r="AO56" s="895">
        <f t="shared" si="14"/>
        <v>-1229</v>
      </c>
      <c r="AP56" s="895">
        <f t="shared" si="14"/>
        <v>-1192</v>
      </c>
      <c r="AQ56" s="896">
        <f t="shared" si="14"/>
        <v>-1249</v>
      </c>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row>
    <row r="57" spans="1:75" s="71" customFormat="1" ht="12">
      <c r="A57" s="507" t="s">
        <v>568</v>
      </c>
      <c r="B57" s="893" t="s">
        <v>652</v>
      </c>
      <c r="C57" s="894"/>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920">
        <f>AM13+AM21+AM29+AM45</f>
        <v>-9085</v>
      </c>
      <c r="AN57" s="895">
        <f>AN13+AN21+AN29+AN45</f>
        <v>-9383</v>
      </c>
      <c r="AO57" s="895">
        <f>AO13+AO21+AO29+AO45</f>
        <v>-7140</v>
      </c>
      <c r="AP57" s="895">
        <f>AP13+AP21+AP29+AP45</f>
        <v>-6625</v>
      </c>
      <c r="AQ57" s="896">
        <f>AQ13+AQ21+AQ29+AQ45</f>
        <v>-6389</v>
      </c>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row>
    <row r="58" spans="1:75" s="54" customFormat="1" ht="30">
      <c r="A58" s="796" t="s">
        <v>694</v>
      </c>
      <c r="B58" s="906" t="s">
        <v>722</v>
      </c>
      <c r="C58" s="888"/>
      <c r="D58" s="888"/>
      <c r="E58" s="888"/>
      <c r="F58" s="888"/>
      <c r="G58" s="888"/>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888"/>
      <c r="AG58" s="888"/>
      <c r="AH58" s="888"/>
      <c r="AI58" s="888"/>
      <c r="AJ58" s="888"/>
      <c r="AK58" s="888"/>
      <c r="AL58" s="888"/>
      <c r="AM58" s="549">
        <f>AM50+AM54</f>
        <v>199393</v>
      </c>
      <c r="AN58" s="549">
        <f>AN50+AN54</f>
        <v>201758</v>
      </c>
      <c r="AO58" s="549">
        <f>AO50+AO54</f>
        <v>206605</v>
      </c>
      <c r="AP58" s="549">
        <f>AP50+AP54</f>
        <v>210699</v>
      </c>
      <c r="AQ58" s="655">
        <f>AQ50+AQ54</f>
        <v>213805</v>
      </c>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row>
    <row r="59" spans="1:75" s="55" customFormat="1" ht="27">
      <c r="A59" s="441" t="s">
        <v>642</v>
      </c>
      <c r="B59" s="732" t="s">
        <v>653</v>
      </c>
      <c r="C59" s="890"/>
      <c r="D59" s="890"/>
      <c r="E59" s="890"/>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0"/>
      <c r="AK59" s="890"/>
      <c r="AL59" s="890"/>
      <c r="AM59" s="891">
        <f t="shared" ref="AM59:AN59" si="15">AM46</f>
        <v>1070</v>
      </c>
      <c r="AN59" s="891">
        <f t="shared" si="15"/>
        <v>1032</v>
      </c>
      <c r="AO59" s="891">
        <v>988</v>
      </c>
      <c r="AP59" s="891">
        <f>AP46</f>
        <v>934</v>
      </c>
      <c r="AQ59" s="892">
        <f>AQ46</f>
        <v>1106</v>
      </c>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row>
    <row r="60" spans="1:75" ht="15">
      <c r="A60" s="835" t="s">
        <v>367</v>
      </c>
      <c r="B60" s="836" t="s">
        <v>377</v>
      </c>
      <c r="C60" s="837"/>
      <c r="D60" s="837"/>
      <c r="E60" s="837"/>
      <c r="F60" s="837"/>
      <c r="G60" s="838"/>
      <c r="H60" s="837"/>
      <c r="I60" s="837"/>
      <c r="J60" s="837"/>
      <c r="K60" s="838"/>
      <c r="L60" s="838"/>
      <c r="M60" s="838"/>
      <c r="N60" s="838"/>
      <c r="O60" s="838"/>
      <c r="P60" s="839"/>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549">
        <v>200463</v>
      </c>
      <c r="AN60" s="549">
        <v>202788</v>
      </c>
      <c r="AO60" s="549">
        <v>207593</v>
      </c>
      <c r="AP60" s="549">
        <v>211633</v>
      </c>
      <c r="AQ60" s="655">
        <v>214911</v>
      </c>
    </row>
    <row r="61" spans="1:75" ht="19.5" customHeight="1">
      <c r="A61" s="907"/>
      <c r="B61" s="732"/>
      <c r="C61" s="908"/>
      <c r="D61" s="908"/>
      <c r="E61" s="908"/>
      <c r="F61" s="908"/>
      <c r="G61" s="908"/>
      <c r="H61" s="908"/>
      <c r="I61" s="908"/>
      <c r="J61" s="908"/>
      <c r="K61" s="908"/>
      <c r="L61" s="908"/>
      <c r="M61" s="908"/>
      <c r="N61" s="908"/>
      <c r="O61" s="908"/>
      <c r="P61" s="908"/>
      <c r="Q61" s="908"/>
      <c r="R61" s="908"/>
      <c r="S61" s="908"/>
      <c r="T61" s="908"/>
      <c r="U61" s="908"/>
      <c r="V61" s="908"/>
      <c r="W61" s="908"/>
      <c r="X61" s="908"/>
      <c r="Y61" s="908"/>
      <c r="Z61" s="908"/>
      <c r="AA61" s="908"/>
      <c r="AB61" s="908"/>
      <c r="AC61" s="908"/>
      <c r="AD61" s="908"/>
      <c r="AE61" s="908"/>
      <c r="AF61" s="908"/>
      <c r="AG61" s="908"/>
      <c r="AH61" s="908"/>
      <c r="AI61" s="908"/>
      <c r="AJ61" s="908"/>
      <c r="AK61" s="908"/>
      <c r="AL61" s="908"/>
      <c r="AM61" s="909"/>
      <c r="AN61" s="909"/>
      <c r="AO61" s="909"/>
      <c r="AP61" s="909"/>
      <c r="AQ61" s="910"/>
    </row>
    <row r="62" spans="1:75" s="145" customFormat="1" ht="19.5" customHeight="1">
      <c r="A62" s="911"/>
      <c r="B62" s="91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913"/>
      <c r="AN62" s="913"/>
      <c r="AO62" s="913"/>
      <c r="AP62" s="913"/>
      <c r="AQ62" s="913"/>
    </row>
    <row r="63" spans="1:75" s="145" customForma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row>
    <row r="64" spans="1:75"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row r="148" s="145" customFormat="1"/>
    <row r="149" s="145" customFormat="1"/>
    <row r="150" s="145" customFormat="1"/>
    <row r="151" s="145" customFormat="1"/>
    <row r="152" s="145" customFormat="1"/>
    <row r="153" s="145" customFormat="1"/>
    <row r="154" s="145" customFormat="1"/>
    <row r="155" s="145" customFormat="1"/>
    <row r="156" s="145" customFormat="1"/>
    <row r="157" s="145" customFormat="1"/>
    <row r="158" s="145" customFormat="1"/>
    <row r="159" s="145" customFormat="1"/>
    <row r="160" s="145" customFormat="1"/>
    <row r="161" s="145" customFormat="1"/>
    <row r="162" s="145" customFormat="1"/>
    <row r="163" s="145" customFormat="1"/>
    <row r="164" s="145" customFormat="1"/>
    <row r="165" s="145" customFormat="1"/>
    <row r="166" s="145" customFormat="1"/>
    <row r="167" s="145" customFormat="1"/>
    <row r="168" s="145" customFormat="1"/>
    <row r="169" s="145" customFormat="1"/>
    <row r="170" s="145" customFormat="1"/>
    <row r="171" s="145" customFormat="1"/>
    <row r="172" s="145" customFormat="1"/>
    <row r="173" s="145" customFormat="1"/>
    <row r="174" s="145" customFormat="1"/>
    <row r="175" s="145" customFormat="1"/>
    <row r="176" s="145" customFormat="1"/>
    <row r="177" s="145" customFormat="1"/>
    <row r="178" s="145" customFormat="1"/>
    <row r="179" s="145" customFormat="1"/>
    <row r="180" s="145" customFormat="1"/>
    <row r="181" s="145" customFormat="1"/>
    <row r="182" s="145" customFormat="1"/>
    <row r="183" s="145" customFormat="1"/>
    <row r="184" s="145" customFormat="1"/>
    <row r="185" s="145" customFormat="1"/>
    <row r="186" s="145" customFormat="1"/>
    <row r="187" s="145" customFormat="1"/>
    <row r="188" s="145" customFormat="1"/>
    <row r="189" s="145" customFormat="1"/>
    <row r="190" s="145" customFormat="1"/>
    <row r="191" s="145" customFormat="1"/>
    <row r="192" s="145" customFormat="1"/>
    <row r="193" s="145" customFormat="1"/>
    <row r="194" s="145" customFormat="1"/>
    <row r="195" s="145" customFormat="1"/>
    <row r="196" s="145" customFormat="1"/>
    <row r="197" s="145" customFormat="1"/>
    <row r="198" s="145" customFormat="1"/>
    <row r="199" s="145" customFormat="1"/>
    <row r="200" s="145" customFormat="1"/>
    <row r="201" s="145" customFormat="1"/>
    <row r="202" s="145" customFormat="1"/>
    <row r="203" s="145" customFormat="1"/>
    <row r="204" s="145" customFormat="1"/>
    <row r="205" s="145" customFormat="1"/>
    <row r="206" s="145" customFormat="1"/>
    <row r="207" s="145" customFormat="1"/>
    <row r="208" s="145" customFormat="1"/>
    <row r="209" s="145" customFormat="1"/>
    <row r="210" s="145" customFormat="1"/>
    <row r="211" s="145" customFormat="1"/>
    <row r="212" s="145" customFormat="1"/>
    <row r="213" s="145" customFormat="1"/>
    <row r="214" s="145" customFormat="1"/>
    <row r="215" s="145" customFormat="1"/>
    <row r="216" s="145" customFormat="1"/>
    <row r="217" s="145" customFormat="1"/>
    <row r="218" s="145" customFormat="1"/>
    <row r="219" s="145" customFormat="1"/>
    <row r="220" s="145" customFormat="1"/>
    <row r="221" s="145" customFormat="1"/>
    <row r="222" s="145" customFormat="1"/>
    <row r="223" s="145" customFormat="1"/>
    <row r="224" s="145" customFormat="1"/>
    <row r="225" s="145" customFormat="1"/>
    <row r="226" s="145" customFormat="1"/>
    <row r="227" s="145" customFormat="1"/>
    <row r="228" s="145" customFormat="1"/>
    <row r="229" s="145" customFormat="1"/>
    <row r="230" s="145" customFormat="1"/>
    <row r="231" s="145" customFormat="1"/>
    <row r="232" s="145" customFormat="1"/>
    <row r="233" s="145" customFormat="1"/>
    <row r="234" s="145" customFormat="1"/>
    <row r="235" s="145" customFormat="1"/>
    <row r="236" s="145" customFormat="1"/>
    <row r="237" s="145" customFormat="1"/>
    <row r="238" s="145" customFormat="1"/>
    <row r="239" s="145" customFormat="1"/>
    <row r="240" s="145" customFormat="1"/>
    <row r="241" s="145" customFormat="1"/>
    <row r="242" s="145" customFormat="1"/>
    <row r="243" s="145" customFormat="1"/>
    <row r="244" s="145" customFormat="1"/>
    <row r="245" s="145" customFormat="1"/>
    <row r="246" s="145" customFormat="1"/>
    <row r="247" s="145" customFormat="1"/>
    <row r="248" s="145" customFormat="1"/>
    <row r="249" s="145" customFormat="1"/>
    <row r="250" s="145" customFormat="1"/>
    <row r="251" s="145" customFormat="1"/>
    <row r="252" s="145" customFormat="1"/>
    <row r="253" s="145" customFormat="1"/>
    <row r="254" s="145" customFormat="1"/>
    <row r="255" s="145" customFormat="1"/>
    <row r="256" s="145" customFormat="1"/>
    <row r="257" s="145" customFormat="1"/>
    <row r="258" s="145" customFormat="1"/>
    <row r="259" s="145" customFormat="1"/>
    <row r="260" s="145" customFormat="1"/>
    <row r="261" s="145" customFormat="1"/>
    <row r="262" s="145" customFormat="1"/>
    <row r="263" s="145" customFormat="1"/>
    <row r="264" s="145" customFormat="1"/>
    <row r="265" s="145" customFormat="1"/>
    <row r="266" s="145" customFormat="1"/>
    <row r="267" s="145" customFormat="1"/>
    <row r="268" s="145" customFormat="1"/>
    <row r="269" s="145" customFormat="1"/>
    <row r="270" s="145" customFormat="1"/>
    <row r="271" s="145" customFormat="1"/>
    <row r="272" s="145" customFormat="1"/>
    <row r="273" s="145" customFormat="1"/>
    <row r="274" s="145" customFormat="1"/>
    <row r="275" s="145" customFormat="1"/>
    <row r="276" s="145" customFormat="1"/>
    <row r="277" s="145" customFormat="1"/>
    <row r="278" s="145" customFormat="1"/>
    <row r="279" s="145" customFormat="1"/>
    <row r="280" s="145" customFormat="1"/>
    <row r="281" s="145" customFormat="1"/>
    <row r="282" s="145" customFormat="1"/>
    <row r="283" s="145" customFormat="1"/>
    <row r="284" s="145" customFormat="1"/>
    <row r="285" s="145" customFormat="1"/>
    <row r="286" s="145" customFormat="1"/>
    <row r="287" s="145" customFormat="1"/>
    <row r="288" s="145" customFormat="1"/>
    <row r="289" s="145" customFormat="1"/>
    <row r="290" s="145" customFormat="1"/>
    <row r="291" s="145" customFormat="1"/>
    <row r="292" s="145" customFormat="1"/>
    <row r="293" s="145" customFormat="1"/>
    <row r="294" s="145" customFormat="1"/>
    <row r="295" s="145" customFormat="1"/>
    <row r="296" s="145" customFormat="1"/>
    <row r="297" s="145" customFormat="1"/>
    <row r="298" s="145" customFormat="1"/>
    <row r="299" s="145" customFormat="1"/>
    <row r="300" s="145" customFormat="1"/>
    <row r="301" s="145" customFormat="1"/>
    <row r="302" s="145" customFormat="1"/>
    <row r="303" s="145" customFormat="1"/>
    <row r="304" s="145" customFormat="1"/>
    <row r="305" s="145" customFormat="1"/>
    <row r="306" s="145" customFormat="1"/>
    <row r="307" s="145" customFormat="1"/>
    <row r="308" s="145" customFormat="1"/>
    <row r="309" s="145" customFormat="1"/>
    <row r="310" s="145" customFormat="1"/>
    <row r="311" s="145" customFormat="1"/>
    <row r="312" s="145" customFormat="1"/>
    <row r="313" s="145" customFormat="1"/>
    <row r="314" s="145" customFormat="1"/>
    <row r="315" s="145" customFormat="1"/>
    <row r="316" s="145" customFormat="1"/>
    <row r="317" s="145" customFormat="1"/>
    <row r="318" s="145" customFormat="1"/>
    <row r="319" s="145" customFormat="1"/>
    <row r="320" s="145" customFormat="1"/>
    <row r="321" s="145" customFormat="1"/>
    <row r="322" s="145" customFormat="1"/>
    <row r="323" s="145" customFormat="1"/>
    <row r="324" s="145" customFormat="1"/>
    <row r="325" s="145" customFormat="1"/>
    <row r="326" s="145" customFormat="1"/>
    <row r="327" s="145" customFormat="1"/>
    <row r="328" s="145" customFormat="1"/>
    <row r="329" s="145" customFormat="1"/>
    <row r="330" s="145" customFormat="1"/>
    <row r="331" s="145" customFormat="1"/>
    <row r="332" s="145" customFormat="1"/>
    <row r="333" s="145" customFormat="1"/>
    <row r="334" s="145" customFormat="1"/>
    <row r="335" s="145" customFormat="1"/>
    <row r="336" s="145" customFormat="1"/>
    <row r="337" s="145" customFormat="1"/>
    <row r="338" s="145" customFormat="1"/>
    <row r="339" s="145" customFormat="1"/>
    <row r="340" s="145" customFormat="1"/>
    <row r="341" s="145" customFormat="1"/>
    <row r="342" s="145" customFormat="1"/>
    <row r="343" s="145" customFormat="1"/>
    <row r="344" s="145" customFormat="1"/>
    <row r="345" s="145" customFormat="1"/>
    <row r="346" s="145" customFormat="1"/>
    <row r="347" s="145" customFormat="1"/>
    <row r="348" s="145" customFormat="1"/>
    <row r="349" s="145" customFormat="1"/>
    <row r="350" s="145" customFormat="1"/>
    <row r="351" s="145" customFormat="1"/>
    <row r="352" s="145" customFormat="1"/>
    <row r="353" s="145" customFormat="1"/>
    <row r="354" s="145" customFormat="1"/>
    <row r="355" s="145" customFormat="1"/>
    <row r="356" s="145" customFormat="1"/>
    <row r="357" s="145" customFormat="1"/>
    <row r="358" s="145" customFormat="1"/>
    <row r="359" s="145" customFormat="1"/>
    <row r="360" s="145" customFormat="1"/>
    <row r="361" s="145" customFormat="1"/>
    <row r="362" s="145" customFormat="1"/>
    <row r="363" s="145" customFormat="1"/>
    <row r="364" s="145" customFormat="1"/>
    <row r="365" s="145" customFormat="1"/>
    <row r="366" s="145" customFormat="1"/>
    <row r="367" s="145" customFormat="1"/>
    <row r="368" s="145" customFormat="1"/>
    <row r="369" s="145" customFormat="1"/>
    <row r="370" s="145" customFormat="1"/>
    <row r="371" s="145" customFormat="1"/>
    <row r="372" s="145" customFormat="1"/>
    <row r="373" s="145" customFormat="1"/>
    <row r="374" s="145" customFormat="1"/>
    <row r="375" s="145" customFormat="1"/>
    <row r="376" s="145" customFormat="1"/>
    <row r="377" s="145" customFormat="1"/>
    <row r="378" s="145" customFormat="1"/>
    <row r="379" s="145" customFormat="1"/>
    <row r="380" s="145" customFormat="1"/>
    <row r="381" s="145" customFormat="1"/>
    <row r="382" s="145" customFormat="1"/>
    <row r="383" s="145" customFormat="1"/>
    <row r="384" s="145" customFormat="1"/>
    <row r="385" spans="44:75" s="145" customFormat="1"/>
    <row r="386" spans="44:75" s="145" customFormat="1"/>
    <row r="387" spans="44:75" s="145" customFormat="1"/>
    <row r="388" spans="44:75" s="145" customFormat="1"/>
    <row r="389" spans="44:75" s="145" customFormat="1"/>
    <row r="390" spans="44:75" s="145" customFormat="1"/>
    <row r="391" spans="44:75" s="145" customFormat="1"/>
    <row r="392" spans="44:75" s="68" customFormat="1">
      <c r="AR392" s="145"/>
      <c r="AS392" s="145"/>
      <c r="AT392" s="145"/>
      <c r="AU392" s="145"/>
      <c r="AV392" s="145"/>
      <c r="AW392" s="145"/>
      <c r="AX392" s="145"/>
      <c r="AY392" s="145"/>
      <c r="AZ392" s="145"/>
      <c r="BA392" s="145"/>
      <c r="BB392" s="145"/>
      <c r="BC392" s="145"/>
      <c r="BD392" s="145"/>
      <c r="BE392" s="145"/>
      <c r="BF392" s="145"/>
      <c r="BG392" s="145"/>
      <c r="BH392" s="145"/>
      <c r="BI392" s="145"/>
      <c r="BJ392" s="145"/>
      <c r="BK392" s="145"/>
      <c r="BL392" s="145"/>
      <c r="BM392" s="145"/>
      <c r="BN392" s="145"/>
      <c r="BO392" s="145"/>
      <c r="BP392" s="145"/>
      <c r="BQ392" s="145"/>
      <c r="BR392" s="145"/>
      <c r="BS392" s="145"/>
      <c r="BT392" s="145"/>
      <c r="BU392" s="145"/>
      <c r="BV392" s="145"/>
      <c r="BW392" s="145"/>
    </row>
    <row r="393" spans="44:75" s="68" customFormat="1">
      <c r="AR393" s="145"/>
      <c r="AS393" s="145"/>
      <c r="AT393" s="145"/>
      <c r="AU393" s="145"/>
      <c r="AV393" s="145"/>
      <c r="AW393" s="145"/>
      <c r="AX393" s="145"/>
      <c r="AY393" s="145"/>
      <c r="AZ393" s="145"/>
      <c r="BA393" s="145"/>
      <c r="BB393" s="145"/>
      <c r="BC393" s="145"/>
      <c r="BD393" s="145"/>
      <c r="BE393" s="145"/>
      <c r="BF393" s="145"/>
      <c r="BG393" s="145"/>
      <c r="BH393" s="145"/>
      <c r="BI393" s="145"/>
      <c r="BJ393" s="145"/>
      <c r="BK393" s="145"/>
      <c r="BL393" s="145"/>
      <c r="BM393" s="145"/>
      <c r="BN393" s="145"/>
      <c r="BO393" s="145"/>
      <c r="BP393" s="145"/>
      <c r="BQ393" s="145"/>
      <c r="BR393" s="145"/>
      <c r="BS393" s="145"/>
      <c r="BT393" s="145"/>
      <c r="BU393" s="145"/>
      <c r="BV393" s="145"/>
      <c r="BW393" s="145"/>
    </row>
    <row r="394" spans="44:75" s="68" customFormat="1">
      <c r="AR394" s="145"/>
      <c r="AS394" s="145"/>
      <c r="AT394" s="145"/>
      <c r="AU394" s="145"/>
      <c r="AV394" s="145"/>
      <c r="AW394" s="145"/>
      <c r="AX394" s="145"/>
      <c r="AY394" s="145"/>
      <c r="AZ394" s="145"/>
      <c r="BA394" s="145"/>
      <c r="BB394" s="145"/>
      <c r="BC394" s="145"/>
      <c r="BD394" s="145"/>
      <c r="BE394" s="145"/>
      <c r="BF394" s="145"/>
      <c r="BG394" s="145"/>
      <c r="BH394" s="145"/>
      <c r="BI394" s="145"/>
      <c r="BJ394" s="145"/>
      <c r="BK394" s="145"/>
      <c r="BL394" s="145"/>
      <c r="BM394" s="145"/>
      <c r="BN394" s="145"/>
      <c r="BO394" s="145"/>
      <c r="BP394" s="145"/>
      <c r="BQ394" s="145"/>
      <c r="BR394" s="145"/>
      <c r="BS394" s="145"/>
      <c r="BT394" s="145"/>
      <c r="BU394" s="145"/>
      <c r="BV394" s="145"/>
      <c r="BW394" s="145"/>
    </row>
    <row r="395" spans="44:75" s="68" customFormat="1">
      <c r="AR395" s="145"/>
      <c r="AS395" s="145"/>
      <c r="AT395" s="145"/>
      <c r="AU395" s="145"/>
      <c r="AV395" s="145"/>
      <c r="AW395" s="145"/>
      <c r="AX395" s="145"/>
      <c r="AY395" s="145"/>
      <c r="AZ395" s="145"/>
      <c r="BA395" s="145"/>
      <c r="BB395" s="145"/>
      <c r="BC395" s="145"/>
      <c r="BD395" s="145"/>
      <c r="BE395" s="145"/>
      <c r="BF395" s="145"/>
      <c r="BG395" s="145"/>
      <c r="BH395" s="145"/>
      <c r="BI395" s="145"/>
      <c r="BJ395" s="145"/>
      <c r="BK395" s="145"/>
      <c r="BL395" s="145"/>
      <c r="BM395" s="145"/>
      <c r="BN395" s="145"/>
      <c r="BO395" s="145"/>
      <c r="BP395" s="145"/>
      <c r="BQ395" s="145"/>
      <c r="BR395" s="145"/>
      <c r="BS395" s="145"/>
      <c r="BT395" s="145"/>
      <c r="BU395" s="145"/>
      <c r="BV395" s="145"/>
      <c r="BW395" s="145"/>
    </row>
    <row r="396" spans="44:75" s="68" customFormat="1">
      <c r="AR396" s="145"/>
      <c r="AS396" s="145"/>
      <c r="AT396" s="145"/>
      <c r="AU396" s="145"/>
      <c r="AV396" s="145"/>
      <c r="AW396" s="145"/>
      <c r="AX396" s="145"/>
      <c r="AY396" s="145"/>
      <c r="AZ396" s="145"/>
      <c r="BA396" s="145"/>
      <c r="BB396" s="145"/>
      <c r="BC396" s="145"/>
      <c r="BD396" s="145"/>
      <c r="BE396" s="145"/>
      <c r="BF396" s="145"/>
      <c r="BG396" s="145"/>
      <c r="BH396" s="145"/>
      <c r="BI396" s="145"/>
      <c r="BJ396" s="145"/>
      <c r="BK396" s="145"/>
      <c r="BL396" s="145"/>
      <c r="BM396" s="145"/>
      <c r="BN396" s="145"/>
      <c r="BO396" s="145"/>
      <c r="BP396" s="145"/>
      <c r="BQ396" s="145"/>
      <c r="BR396" s="145"/>
      <c r="BS396" s="145"/>
      <c r="BT396" s="145"/>
      <c r="BU396" s="145"/>
      <c r="BV396" s="145"/>
      <c r="BW396" s="145"/>
    </row>
    <row r="397" spans="44:75" s="68" customFormat="1">
      <c r="AR397" s="145"/>
      <c r="AS397" s="145"/>
      <c r="AT397" s="145"/>
      <c r="AU397" s="145"/>
      <c r="AV397" s="145"/>
      <c r="AW397" s="145"/>
      <c r="AX397" s="145"/>
      <c r="AY397" s="145"/>
      <c r="AZ397" s="145"/>
      <c r="BA397" s="145"/>
      <c r="BB397" s="145"/>
      <c r="BC397" s="145"/>
      <c r="BD397" s="145"/>
      <c r="BE397" s="145"/>
      <c r="BF397" s="145"/>
      <c r="BG397" s="145"/>
      <c r="BH397" s="145"/>
      <c r="BI397" s="145"/>
      <c r="BJ397" s="145"/>
      <c r="BK397" s="145"/>
      <c r="BL397" s="145"/>
      <c r="BM397" s="145"/>
      <c r="BN397" s="145"/>
      <c r="BO397" s="145"/>
      <c r="BP397" s="145"/>
      <c r="BQ397" s="145"/>
      <c r="BR397" s="145"/>
      <c r="BS397" s="145"/>
      <c r="BT397" s="145"/>
      <c r="BU397" s="145"/>
      <c r="BV397" s="145"/>
      <c r="BW397" s="145"/>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D478"/>
  <sheetViews>
    <sheetView view="pageBreakPreview" topLeftCell="A7" zoomScaleNormal="100" zoomScaleSheetLayoutView="100" workbookViewId="0">
      <pane xSplit="1" topLeftCell="B1" activePane="topRight" state="frozen"/>
      <selection pane="topRight" activeCell="AR34" sqref="AR34"/>
    </sheetView>
  </sheetViews>
  <sheetFormatPr defaultRowHeight="13.5" outlineLevelCol="1"/>
  <cols>
    <col min="1" max="1" width="62.7109375" style="109" customWidth="1"/>
    <col min="2" max="2" width="53.140625" style="109" customWidth="1"/>
    <col min="3" max="3" width="3.140625" style="109" hidden="1" customWidth="1"/>
    <col min="4" max="35" width="15.7109375" style="109" hidden="1" customWidth="1" outlineLevel="1"/>
    <col min="36" max="36" width="15.7109375" style="109" customWidth="1" collapsed="1"/>
    <col min="37" max="39" width="15.7109375" style="109" customWidth="1"/>
    <col min="40" max="82" width="9.140625" style="172"/>
    <col min="83" max="16384" width="9.140625" style="109"/>
  </cols>
  <sheetData>
    <row r="1" spans="1:82" ht="19.5" customHeight="1">
      <c r="A1" s="928" t="s">
        <v>389</v>
      </c>
      <c r="B1" s="929" t="s">
        <v>525</v>
      </c>
      <c r="C1" s="929"/>
      <c r="D1" s="84"/>
      <c r="E1" s="84"/>
      <c r="F1" s="84"/>
      <c r="G1" s="84"/>
      <c r="H1" s="84"/>
      <c r="I1" s="84"/>
      <c r="J1" s="84"/>
      <c r="K1" s="84"/>
      <c r="L1" s="84"/>
      <c r="M1" s="84"/>
      <c r="N1" s="84"/>
      <c r="O1" s="84"/>
      <c r="P1" s="930"/>
      <c r="Q1" s="930"/>
      <c r="R1" s="930"/>
      <c r="S1" s="84"/>
      <c r="T1" s="84"/>
      <c r="U1" s="84"/>
      <c r="V1" s="84"/>
      <c r="W1" s="84"/>
      <c r="X1" s="84"/>
      <c r="Y1" s="84"/>
      <c r="Z1" s="84"/>
      <c r="AA1" s="84"/>
      <c r="AB1" s="84"/>
      <c r="AC1" s="84"/>
      <c r="AD1" s="84"/>
      <c r="AE1" s="84"/>
      <c r="AF1" s="84"/>
      <c r="AG1" s="84"/>
      <c r="AH1" s="84"/>
      <c r="AI1" s="84"/>
      <c r="AJ1" s="84"/>
      <c r="AK1" s="84"/>
      <c r="AL1" s="84"/>
      <c r="AM1" s="392" t="s">
        <v>800</v>
      </c>
    </row>
    <row r="2" spans="1:82" s="115" customFormat="1">
      <c r="A2" s="931"/>
      <c r="B2" s="932"/>
      <c r="C2" s="932"/>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392" t="s">
        <v>801</v>
      </c>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row>
    <row r="3" spans="1:82" s="115" customFormat="1" ht="14.25" thickBot="1">
      <c r="A3" s="931"/>
      <c r="B3" s="932"/>
      <c r="C3" s="932"/>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933"/>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row>
    <row r="4" spans="1:82" s="89" customFormat="1" ht="19.5" customHeight="1" thickBot="1">
      <c r="A4" s="343" t="s">
        <v>365</v>
      </c>
      <c r="B4" s="619" t="s">
        <v>182</v>
      </c>
      <c r="C4" s="619"/>
      <c r="D4" s="794" t="s">
        <v>304</v>
      </c>
      <c r="E4" s="794" t="s">
        <v>303</v>
      </c>
      <c r="F4" s="794" t="s">
        <v>302</v>
      </c>
      <c r="G4" s="794" t="s">
        <v>301</v>
      </c>
      <c r="H4" s="794" t="s">
        <v>297</v>
      </c>
      <c r="I4" s="794" t="s">
        <v>298</v>
      </c>
      <c r="J4" s="794" t="s">
        <v>299</v>
      </c>
      <c r="K4" s="794" t="s">
        <v>300</v>
      </c>
      <c r="L4" s="794" t="s">
        <v>296</v>
      </c>
      <c r="M4" s="794" t="s">
        <v>295</v>
      </c>
      <c r="N4" s="794" t="s">
        <v>294</v>
      </c>
      <c r="O4" s="794" t="s">
        <v>293</v>
      </c>
      <c r="P4" s="794" t="s">
        <v>292</v>
      </c>
      <c r="Q4" s="794" t="s">
        <v>291</v>
      </c>
      <c r="R4" s="794" t="s">
        <v>290</v>
      </c>
      <c r="S4" s="794" t="s">
        <v>289</v>
      </c>
      <c r="T4" s="794" t="s">
        <v>288</v>
      </c>
      <c r="U4" s="794" t="s">
        <v>287</v>
      </c>
      <c r="V4" s="794" t="s">
        <v>286</v>
      </c>
      <c r="W4" s="794" t="s">
        <v>285</v>
      </c>
      <c r="X4" s="794" t="s">
        <v>281</v>
      </c>
      <c r="Y4" s="794" t="s">
        <v>282</v>
      </c>
      <c r="Z4" s="794" t="s">
        <v>283</v>
      </c>
      <c r="AA4" s="794" t="s">
        <v>284</v>
      </c>
      <c r="AB4" s="794" t="s">
        <v>277</v>
      </c>
      <c r="AC4" s="794" t="s">
        <v>278</v>
      </c>
      <c r="AD4" s="794" t="s">
        <v>279</v>
      </c>
      <c r="AE4" s="794" t="s">
        <v>280</v>
      </c>
      <c r="AF4" s="794" t="s">
        <v>274</v>
      </c>
      <c r="AG4" s="794" t="s">
        <v>275</v>
      </c>
      <c r="AH4" s="794" t="s">
        <v>276</v>
      </c>
      <c r="AI4" s="794" t="s">
        <v>256</v>
      </c>
      <c r="AJ4" s="794" t="s">
        <v>273</v>
      </c>
      <c r="AK4" s="794" t="s">
        <v>272</v>
      </c>
      <c r="AL4" s="794" t="s">
        <v>255</v>
      </c>
      <c r="AM4" s="795" t="s">
        <v>271</v>
      </c>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row>
    <row r="5" spans="1:82" s="89" customFormat="1" ht="27.75" customHeight="1">
      <c r="A5" s="972" t="s">
        <v>608</v>
      </c>
      <c r="B5" s="981" t="s">
        <v>814</v>
      </c>
      <c r="C5" s="981"/>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4"/>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row>
    <row r="6" spans="1:82">
      <c r="A6" s="938" t="s">
        <v>597</v>
      </c>
      <c r="B6" s="939" t="s">
        <v>612</v>
      </c>
      <c r="C6" s="939"/>
      <c r="D6" s="985"/>
      <c r="E6" s="940">
        <v>5943.4009999999998</v>
      </c>
      <c r="F6" s="940">
        <v>6031.1379999999999</v>
      </c>
      <c r="G6" s="940">
        <v>6254.3270000000002</v>
      </c>
      <c r="H6" s="940">
        <v>6071.5709999999999</v>
      </c>
      <c r="I6" s="940">
        <v>6623.0529999999999</v>
      </c>
      <c r="J6" s="940">
        <v>6578.14</v>
      </c>
      <c r="K6" s="940">
        <v>6562.3530000000001</v>
      </c>
      <c r="L6" s="940">
        <v>5591.5929999999998</v>
      </c>
      <c r="M6" s="940">
        <v>5722.5529999999999</v>
      </c>
      <c r="N6" s="940">
        <v>6321.7719999999999</v>
      </c>
      <c r="O6" s="940">
        <v>6549.3829999999998</v>
      </c>
      <c r="P6" s="940">
        <v>7001.9880000000003</v>
      </c>
      <c r="Q6" s="940">
        <v>7164.7460000000001</v>
      </c>
      <c r="R6" s="940">
        <v>8169.2219999999998</v>
      </c>
      <c r="S6" s="940">
        <v>8086.1559999999999</v>
      </c>
      <c r="T6" s="940">
        <v>8862.3269999999993</v>
      </c>
      <c r="U6" s="940">
        <v>8673.6949999999997</v>
      </c>
      <c r="V6" s="940">
        <v>7986.7389999999996</v>
      </c>
      <c r="W6" s="940">
        <v>7336.9849999999997</v>
      </c>
      <c r="X6" s="940">
        <v>7219.8029999999999</v>
      </c>
      <c r="Y6" s="940">
        <v>7418.6540000000005</v>
      </c>
      <c r="Z6" s="940">
        <v>7083.5950000000003</v>
      </c>
      <c r="AA6" s="940">
        <v>7377.95</v>
      </c>
      <c r="AB6" s="940">
        <v>7278.2640000000001</v>
      </c>
      <c r="AC6" s="940">
        <v>7585.09</v>
      </c>
      <c r="AD6" s="940">
        <v>7510.2560000000003</v>
      </c>
      <c r="AE6" s="940">
        <v>7549.6350000000002</v>
      </c>
      <c r="AF6" s="940">
        <v>7066.1819999999998</v>
      </c>
      <c r="AG6" s="940">
        <v>8202.4660000000003</v>
      </c>
      <c r="AH6" s="940">
        <v>8409.4519999999993</v>
      </c>
      <c r="AI6" s="940">
        <v>6550.7</v>
      </c>
      <c r="AJ6" s="940">
        <v>6295</v>
      </c>
      <c r="AK6" s="940">
        <v>5692</v>
      </c>
      <c r="AL6" s="940">
        <v>5486</v>
      </c>
      <c r="AM6" s="941">
        <v>5420</v>
      </c>
    </row>
    <row r="7" spans="1:82" s="110" customFormat="1">
      <c r="A7" s="942" t="s">
        <v>600</v>
      </c>
      <c r="B7" s="943" t="s">
        <v>613</v>
      </c>
      <c r="C7" s="943"/>
      <c r="D7" s="986"/>
      <c r="E7" s="986"/>
      <c r="F7" s="986"/>
      <c r="G7" s="944">
        <v>5355.8869999999997</v>
      </c>
      <c r="H7" s="986"/>
      <c r="I7" s="986"/>
      <c r="J7" s="986"/>
      <c r="K7" s="944">
        <v>5899.2309999999998</v>
      </c>
      <c r="L7" s="944">
        <v>4913.3010000000004</v>
      </c>
      <c r="M7" s="944">
        <v>5122.4290000000001</v>
      </c>
      <c r="N7" s="944">
        <v>5637.299</v>
      </c>
      <c r="O7" s="944">
        <v>5701.5469999999996</v>
      </c>
      <c r="P7" s="944">
        <v>5889.1859999999997</v>
      </c>
      <c r="Q7" s="944">
        <v>6266.2020000000002</v>
      </c>
      <c r="R7" s="944">
        <v>6387.73</v>
      </c>
      <c r="S7" s="944">
        <v>6505.0829999999996</v>
      </c>
      <c r="T7" s="944">
        <v>6916.5</v>
      </c>
      <c r="U7" s="944">
        <v>6601.5770000000002</v>
      </c>
      <c r="V7" s="944">
        <v>6287.027</v>
      </c>
      <c r="W7" s="944">
        <v>5532.4290000000001</v>
      </c>
      <c r="X7" s="944">
        <v>5289.2560000000003</v>
      </c>
      <c r="Y7" s="944">
        <v>5604.2359999999999</v>
      </c>
      <c r="Z7" s="944">
        <v>5238.9639999999999</v>
      </c>
      <c r="AA7" s="944">
        <v>5615.8779999999997</v>
      </c>
      <c r="AB7" s="944">
        <v>5534.1419999999998</v>
      </c>
      <c r="AC7" s="944">
        <v>5645.9070000000002</v>
      </c>
      <c r="AD7" s="944">
        <v>5640.2550000000001</v>
      </c>
      <c r="AE7" s="944">
        <v>5412.768</v>
      </c>
      <c r="AF7" s="944">
        <v>5190.5020000000004</v>
      </c>
      <c r="AG7" s="944">
        <v>5261.1679999999997</v>
      </c>
      <c r="AH7" s="944">
        <v>5139.6959999999999</v>
      </c>
      <c r="AI7" s="944">
        <v>5048.8999999999996</v>
      </c>
      <c r="AJ7" s="944">
        <v>4848</v>
      </c>
      <c r="AK7" s="944">
        <v>4575</v>
      </c>
      <c r="AL7" s="944">
        <v>4313</v>
      </c>
      <c r="AM7" s="945">
        <v>4346</v>
      </c>
      <c r="AN7" s="934"/>
      <c r="AO7" s="934"/>
      <c r="AP7" s="934"/>
      <c r="AQ7" s="934"/>
      <c r="AR7" s="934"/>
      <c r="AS7" s="934"/>
      <c r="AT7" s="934"/>
      <c r="AU7" s="934"/>
      <c r="AV7" s="934"/>
      <c r="AW7" s="934"/>
      <c r="AX7" s="934"/>
      <c r="AY7" s="934"/>
      <c r="AZ7" s="934"/>
      <c r="BA7" s="934"/>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c r="BZ7" s="934"/>
      <c r="CA7" s="934"/>
      <c r="CB7" s="934"/>
      <c r="CC7" s="934"/>
      <c r="CD7" s="934"/>
    </row>
    <row r="8" spans="1:82" s="110" customFormat="1">
      <c r="A8" s="942" t="s">
        <v>599</v>
      </c>
      <c r="B8" s="943" t="s">
        <v>614</v>
      </c>
      <c r="C8" s="943"/>
      <c r="D8" s="987"/>
      <c r="E8" s="987"/>
      <c r="F8" s="987"/>
      <c r="G8" s="946">
        <v>898.44</v>
      </c>
      <c r="H8" s="987"/>
      <c r="I8" s="987"/>
      <c r="J8" s="987"/>
      <c r="K8" s="946">
        <v>663.12199999999996</v>
      </c>
      <c r="L8" s="946">
        <v>678.29200000000003</v>
      </c>
      <c r="M8" s="946">
        <v>600.12400000000002</v>
      </c>
      <c r="N8" s="946">
        <v>684.47299999999996</v>
      </c>
      <c r="O8" s="946">
        <v>847.83600000000001</v>
      </c>
      <c r="P8" s="946">
        <v>1112.8019999999999</v>
      </c>
      <c r="Q8" s="946">
        <v>898.54399999999998</v>
      </c>
      <c r="R8" s="946">
        <v>1781.492</v>
      </c>
      <c r="S8" s="946">
        <v>1581.0730000000001</v>
      </c>
      <c r="T8" s="946">
        <v>1945.827</v>
      </c>
      <c r="U8" s="946">
        <v>2072.1179999999999</v>
      </c>
      <c r="V8" s="946">
        <v>1699.712</v>
      </c>
      <c r="W8" s="946">
        <v>1804.556</v>
      </c>
      <c r="X8" s="946">
        <v>1930.547</v>
      </c>
      <c r="Y8" s="946">
        <v>1814.4179999999999</v>
      </c>
      <c r="Z8" s="946">
        <v>1844.6310000000001</v>
      </c>
      <c r="AA8" s="946">
        <v>1762.077</v>
      </c>
      <c r="AB8" s="946">
        <v>1744.1220000000001</v>
      </c>
      <c r="AC8" s="946">
        <v>1939.183</v>
      </c>
      <c r="AD8" s="946">
        <v>1870.001</v>
      </c>
      <c r="AE8" s="946">
        <v>2136.8670000000002</v>
      </c>
      <c r="AF8" s="946">
        <v>1875.68</v>
      </c>
      <c r="AG8" s="946">
        <v>2941.2979999999998</v>
      </c>
      <c r="AH8" s="946">
        <v>3269.7559999999999</v>
      </c>
      <c r="AI8" s="946">
        <v>1501.8</v>
      </c>
      <c r="AJ8" s="946">
        <v>1447</v>
      </c>
      <c r="AK8" s="946">
        <v>1117</v>
      </c>
      <c r="AL8" s="946">
        <v>1173</v>
      </c>
      <c r="AM8" s="947">
        <v>1074</v>
      </c>
      <c r="AN8" s="934"/>
      <c r="AO8" s="934"/>
      <c r="AP8" s="934"/>
      <c r="AQ8" s="934"/>
      <c r="AR8" s="934"/>
      <c r="AS8" s="934"/>
      <c r="AT8" s="934"/>
      <c r="AU8" s="934"/>
      <c r="AV8" s="934"/>
      <c r="AW8" s="934"/>
      <c r="AX8" s="934"/>
      <c r="AY8" s="934"/>
      <c r="AZ8" s="934"/>
      <c r="BA8" s="934"/>
      <c r="BB8" s="934"/>
      <c r="BC8" s="934"/>
      <c r="BD8" s="934"/>
      <c r="BE8" s="934"/>
      <c r="BF8" s="934"/>
      <c r="BG8" s="934"/>
      <c r="BH8" s="934"/>
      <c r="BI8" s="934"/>
      <c r="BJ8" s="934"/>
      <c r="BK8" s="934"/>
      <c r="BL8" s="934"/>
      <c r="BM8" s="934"/>
      <c r="BN8" s="934"/>
      <c r="BO8" s="934"/>
      <c r="BP8" s="934"/>
      <c r="BQ8" s="934"/>
      <c r="BR8" s="934"/>
      <c r="BS8" s="934"/>
      <c r="BT8" s="934"/>
      <c r="BU8" s="934"/>
      <c r="BV8" s="934"/>
      <c r="BW8" s="934"/>
      <c r="BX8" s="934"/>
      <c r="BY8" s="934"/>
      <c r="BZ8" s="934"/>
      <c r="CA8" s="934"/>
      <c r="CB8" s="934"/>
      <c r="CC8" s="934"/>
      <c r="CD8" s="934"/>
    </row>
    <row r="9" spans="1:82" s="118" customFormat="1">
      <c r="A9" s="938" t="s">
        <v>598</v>
      </c>
      <c r="B9" s="948" t="s">
        <v>615</v>
      </c>
      <c r="C9" s="948"/>
      <c r="D9" s="985"/>
      <c r="E9" s="940">
        <v>2876.6689999999999</v>
      </c>
      <c r="F9" s="940">
        <v>3234.623</v>
      </c>
      <c r="G9" s="940">
        <v>3752.2629999999999</v>
      </c>
      <c r="H9" s="940">
        <v>4122.0680000000002</v>
      </c>
      <c r="I9" s="940">
        <v>4324.9449999999997</v>
      </c>
      <c r="J9" s="940">
        <v>4814.9229999999998</v>
      </c>
      <c r="K9" s="940">
        <v>4987.9430000000002</v>
      </c>
      <c r="L9" s="940">
        <v>5400.1450000000004</v>
      </c>
      <c r="M9" s="940">
        <v>5640.3980000000001</v>
      </c>
      <c r="N9" s="940">
        <v>6075.473</v>
      </c>
      <c r="O9" s="940">
        <v>6095.6850000000004</v>
      </c>
      <c r="P9" s="940">
        <v>6194</v>
      </c>
      <c r="Q9" s="940">
        <v>6135</v>
      </c>
      <c r="R9" s="940">
        <v>6428</v>
      </c>
      <c r="S9" s="940">
        <v>6911.8869999999997</v>
      </c>
      <c r="T9" s="940">
        <v>7293.7879999999996</v>
      </c>
      <c r="U9" s="940">
        <v>7537.7330000000002</v>
      </c>
      <c r="V9" s="940">
        <v>7182.7969999999996</v>
      </c>
      <c r="W9" s="940">
        <v>7328.9229999999998</v>
      </c>
      <c r="X9" s="940">
        <v>7332.8469999999998</v>
      </c>
      <c r="Y9" s="940">
        <v>7689.9639999999999</v>
      </c>
      <c r="Z9" s="940">
        <v>7871.8559999999998</v>
      </c>
      <c r="AA9" s="940">
        <v>7361.4319999999998</v>
      </c>
      <c r="AB9" s="940">
        <v>7408.5780000000004</v>
      </c>
      <c r="AC9" s="940">
        <v>7629.1689999999999</v>
      </c>
      <c r="AD9" s="940">
        <v>7797.9179999999997</v>
      </c>
      <c r="AE9" s="940">
        <v>7688.1419999999998</v>
      </c>
      <c r="AF9" s="940">
        <v>7763.0590000000002</v>
      </c>
      <c r="AG9" s="940">
        <v>7784.5739999999996</v>
      </c>
      <c r="AH9" s="940">
        <v>7356.6710000000003</v>
      </c>
      <c r="AI9" s="940">
        <v>7183</v>
      </c>
      <c r="AJ9" s="940">
        <v>7411</v>
      </c>
      <c r="AK9" s="940">
        <v>7538</v>
      </c>
      <c r="AL9" s="940">
        <v>7725</v>
      </c>
      <c r="AM9" s="941">
        <v>7354</v>
      </c>
      <c r="AN9" s="935"/>
      <c r="AO9" s="935"/>
      <c r="AP9" s="935"/>
      <c r="AQ9" s="935"/>
      <c r="AR9" s="935"/>
      <c r="AS9" s="935"/>
      <c r="AT9" s="935"/>
      <c r="AU9" s="935"/>
      <c r="AV9" s="935"/>
      <c r="AW9" s="935"/>
      <c r="AX9" s="935"/>
      <c r="AY9" s="935"/>
      <c r="AZ9" s="935"/>
      <c r="BA9" s="935"/>
      <c r="BB9" s="935"/>
      <c r="BC9" s="935"/>
      <c r="BD9" s="935"/>
      <c r="BE9" s="935"/>
      <c r="BF9" s="935"/>
      <c r="BG9" s="935"/>
      <c r="BH9" s="935"/>
      <c r="BI9" s="935"/>
      <c r="BJ9" s="935"/>
      <c r="BK9" s="935"/>
      <c r="BL9" s="935"/>
      <c r="BM9" s="935"/>
      <c r="BN9" s="935"/>
      <c r="BO9" s="935"/>
      <c r="BP9" s="935"/>
      <c r="BQ9" s="935"/>
      <c r="BR9" s="935"/>
      <c r="BS9" s="935"/>
      <c r="BT9" s="935"/>
      <c r="BU9" s="935"/>
      <c r="BV9" s="935"/>
      <c r="BW9" s="935"/>
      <c r="BX9" s="935"/>
      <c r="BY9" s="935"/>
      <c r="BZ9" s="935"/>
      <c r="CA9" s="935"/>
      <c r="CB9" s="935"/>
      <c r="CC9" s="935"/>
      <c r="CD9" s="935"/>
    </row>
    <row r="10" spans="1:82" s="110" customFormat="1">
      <c r="A10" s="942" t="s">
        <v>603</v>
      </c>
      <c r="B10" s="946" t="s">
        <v>613</v>
      </c>
      <c r="C10" s="946"/>
      <c r="D10" s="986"/>
      <c r="E10" s="944">
        <f t="shared" ref="E10:M10" si="0">E9</f>
        <v>2876.6689999999999</v>
      </c>
      <c r="F10" s="944">
        <f t="shared" si="0"/>
        <v>3234.623</v>
      </c>
      <c r="G10" s="944">
        <f t="shared" si="0"/>
        <v>3752.2629999999999</v>
      </c>
      <c r="H10" s="944">
        <f t="shared" si="0"/>
        <v>4122.0680000000002</v>
      </c>
      <c r="I10" s="944">
        <f t="shared" si="0"/>
        <v>4324.9449999999997</v>
      </c>
      <c r="J10" s="944">
        <f t="shared" si="0"/>
        <v>4814.9229999999998</v>
      </c>
      <c r="K10" s="944">
        <f t="shared" si="0"/>
        <v>4987.9430000000002</v>
      </c>
      <c r="L10" s="944">
        <f t="shared" si="0"/>
        <v>5400.1450000000004</v>
      </c>
      <c r="M10" s="944">
        <f t="shared" si="0"/>
        <v>5640.3980000000001</v>
      </c>
      <c r="N10" s="944">
        <f>N9</f>
        <v>6075.473</v>
      </c>
      <c r="O10" s="944">
        <v>6095.6850000000004</v>
      </c>
      <c r="P10" s="944">
        <f>6577.502-383.94</f>
        <v>6193.5620000000008</v>
      </c>
      <c r="Q10" s="944">
        <f>6522.873-387.73</f>
        <v>6135.143</v>
      </c>
      <c r="R10" s="944">
        <f>6818.938-390.47</f>
        <v>6428.4679999999998</v>
      </c>
      <c r="S10" s="944">
        <v>6911.8869999999997</v>
      </c>
      <c r="T10" s="944">
        <v>7293.7879999999996</v>
      </c>
      <c r="U10" s="944">
        <v>7537.7330000000002</v>
      </c>
      <c r="V10" s="944">
        <v>7182.7969999999996</v>
      </c>
      <c r="W10" s="944">
        <v>7328.9229999999998</v>
      </c>
      <c r="X10" s="944">
        <v>7332.8469999999998</v>
      </c>
      <c r="Y10" s="944">
        <v>7689.9639999999999</v>
      </c>
      <c r="Z10" s="944">
        <v>7871.8559999999998</v>
      </c>
      <c r="AA10" s="944">
        <v>7361.4319999999998</v>
      </c>
      <c r="AB10" s="944">
        <v>7408.5780000000004</v>
      </c>
      <c r="AC10" s="944">
        <v>7629.1689999999999</v>
      </c>
      <c r="AD10" s="944">
        <v>7797.9179999999997</v>
      </c>
      <c r="AE10" s="944">
        <v>7688.1419999999998</v>
      </c>
      <c r="AF10" s="944">
        <v>7763.0590000000002</v>
      </c>
      <c r="AG10" s="944">
        <v>7784.5739999999996</v>
      </c>
      <c r="AH10" s="944">
        <v>7356.6710000000003</v>
      </c>
      <c r="AI10" s="944">
        <v>7171.2</v>
      </c>
      <c r="AJ10" s="944">
        <v>7400</v>
      </c>
      <c r="AK10" s="944">
        <v>7528</v>
      </c>
      <c r="AL10" s="944">
        <v>7699</v>
      </c>
      <c r="AM10" s="945">
        <v>7332</v>
      </c>
      <c r="AN10" s="934"/>
      <c r="AO10" s="934"/>
      <c r="AP10" s="934"/>
      <c r="AQ10" s="934"/>
      <c r="AR10" s="934"/>
      <c r="AS10" s="934"/>
      <c r="AT10" s="934"/>
      <c r="AU10" s="934"/>
      <c r="AV10" s="934"/>
      <c r="AW10" s="934"/>
      <c r="AX10" s="934"/>
      <c r="AY10" s="934"/>
      <c r="AZ10" s="934"/>
      <c r="BA10" s="934"/>
      <c r="BB10" s="934"/>
      <c r="BC10" s="934"/>
      <c r="BD10" s="934"/>
      <c r="BE10" s="934"/>
      <c r="BF10" s="934"/>
      <c r="BG10" s="934"/>
      <c r="BH10" s="934"/>
      <c r="BI10" s="934"/>
      <c r="BJ10" s="934"/>
      <c r="BK10" s="934"/>
      <c r="BL10" s="934"/>
      <c r="BM10" s="934"/>
      <c r="BN10" s="934"/>
      <c r="BO10" s="934"/>
      <c r="BP10" s="934"/>
      <c r="BQ10" s="934"/>
      <c r="BR10" s="934"/>
      <c r="BS10" s="934"/>
      <c r="BT10" s="934"/>
      <c r="BU10" s="934"/>
      <c r="BV10" s="934"/>
      <c r="BW10" s="934"/>
      <c r="BX10" s="934"/>
      <c r="BY10" s="934"/>
      <c r="BZ10" s="934"/>
      <c r="CA10" s="934"/>
      <c r="CB10" s="934"/>
      <c r="CC10" s="934"/>
      <c r="CD10" s="934"/>
    </row>
    <row r="11" spans="1:82">
      <c r="A11" s="982" t="s">
        <v>374</v>
      </c>
      <c r="B11" s="983" t="s">
        <v>386</v>
      </c>
      <c r="C11" s="983"/>
      <c r="D11" s="604"/>
      <c r="E11" s="949">
        <v>2363.7289999999998</v>
      </c>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984"/>
    </row>
    <row r="12" spans="1:82" s="118" customFormat="1">
      <c r="A12" s="938" t="s">
        <v>601</v>
      </c>
      <c r="B12" s="948" t="s">
        <v>616</v>
      </c>
      <c r="C12" s="948"/>
      <c r="D12" s="985"/>
      <c r="E12" s="940">
        <v>100071.856</v>
      </c>
      <c r="F12" s="940">
        <v>106082.48299999999</v>
      </c>
      <c r="G12" s="940">
        <v>110503.11900000001</v>
      </c>
      <c r="H12" s="940">
        <v>112060.871</v>
      </c>
      <c r="I12" s="940">
        <v>118242.682</v>
      </c>
      <c r="J12" s="940">
        <v>120138.341</v>
      </c>
      <c r="K12" s="940">
        <v>123974.493</v>
      </c>
      <c r="L12" s="940">
        <v>126661.276</v>
      </c>
      <c r="M12" s="940">
        <v>129607.52499999999</v>
      </c>
      <c r="N12" s="944">
        <v>132942.28099999999</v>
      </c>
      <c r="O12" s="940">
        <v>134647.66899999999</v>
      </c>
      <c r="P12" s="940">
        <v>133337.427</v>
      </c>
      <c r="Q12" s="940">
        <v>133660.601</v>
      </c>
      <c r="R12" s="940">
        <v>134192.01500000001</v>
      </c>
      <c r="S12" s="940">
        <v>135261.288</v>
      </c>
      <c r="T12" s="940">
        <v>138130.158</v>
      </c>
      <c r="U12" s="940">
        <v>139718.80100000001</v>
      </c>
      <c r="V12" s="940">
        <v>141367.973</v>
      </c>
      <c r="W12" s="940">
        <v>141608.13399999999</v>
      </c>
      <c r="X12" s="940">
        <v>141731.01199999999</v>
      </c>
      <c r="Y12" s="940">
        <v>170291.785</v>
      </c>
      <c r="Z12" s="940">
        <v>170994.674</v>
      </c>
      <c r="AA12" s="940">
        <v>172780.47399999999</v>
      </c>
      <c r="AB12" s="940">
        <v>175883.09700000001</v>
      </c>
      <c r="AC12" s="940">
        <v>178474.00200000001</v>
      </c>
      <c r="AD12" s="940">
        <v>178419.60699999999</v>
      </c>
      <c r="AE12" s="940">
        <v>183463.14</v>
      </c>
      <c r="AF12" s="940">
        <v>181407.63399999999</v>
      </c>
      <c r="AG12" s="940">
        <v>184004.99900000001</v>
      </c>
      <c r="AH12" s="940">
        <v>185565.652</v>
      </c>
      <c r="AI12" s="940">
        <v>194875.5</v>
      </c>
      <c r="AJ12" s="940">
        <v>195016</v>
      </c>
      <c r="AK12" s="940">
        <v>199508</v>
      </c>
      <c r="AL12" s="940">
        <v>200837</v>
      </c>
      <c r="AM12" s="941">
        <v>200678</v>
      </c>
      <c r="AN12" s="935"/>
      <c r="AO12" s="935"/>
      <c r="AP12" s="935"/>
      <c r="AQ12" s="935"/>
      <c r="AR12" s="935"/>
      <c r="AS12" s="935"/>
      <c r="AT12" s="935"/>
      <c r="AU12" s="935"/>
      <c r="AV12" s="935"/>
      <c r="AW12" s="935"/>
      <c r="AX12" s="935"/>
      <c r="AY12" s="935"/>
      <c r="AZ12" s="935"/>
      <c r="BA12" s="935"/>
      <c r="BB12" s="935"/>
      <c r="BC12" s="935"/>
      <c r="BD12" s="935"/>
      <c r="BE12" s="935"/>
      <c r="BF12" s="935"/>
      <c r="BG12" s="935"/>
      <c r="BH12" s="935"/>
      <c r="BI12" s="935"/>
      <c r="BJ12" s="935"/>
      <c r="BK12" s="935"/>
      <c r="BL12" s="935"/>
      <c r="BM12" s="935"/>
      <c r="BN12" s="935"/>
      <c r="BO12" s="935"/>
      <c r="BP12" s="935"/>
      <c r="BQ12" s="935"/>
      <c r="BR12" s="935"/>
      <c r="BS12" s="935"/>
      <c r="BT12" s="935"/>
      <c r="BU12" s="935"/>
      <c r="BV12" s="935"/>
      <c r="BW12" s="935"/>
      <c r="BX12" s="935"/>
      <c r="BY12" s="935"/>
      <c r="BZ12" s="935"/>
      <c r="CA12" s="935"/>
      <c r="CB12" s="935"/>
      <c r="CC12" s="935"/>
      <c r="CD12" s="935"/>
    </row>
    <row r="13" spans="1:82" s="119" customFormat="1" ht="15">
      <c r="A13" s="951" t="s">
        <v>572</v>
      </c>
      <c r="B13" s="952" t="s">
        <v>617</v>
      </c>
      <c r="C13" s="952"/>
      <c r="D13" s="953">
        <v>109830.414</v>
      </c>
      <c r="E13" s="953">
        <v>111255.655</v>
      </c>
      <c r="F13" s="953">
        <v>115348.24400000001</v>
      </c>
      <c r="G13" s="953">
        <v>120509.709</v>
      </c>
      <c r="H13" s="953">
        <v>122254.51</v>
      </c>
      <c r="I13" s="953">
        <v>129190.68</v>
      </c>
      <c r="J13" s="953">
        <v>131531.40400000001</v>
      </c>
      <c r="K13" s="953">
        <v>135524.78899999999</v>
      </c>
      <c r="L13" s="953">
        <v>137653.014</v>
      </c>
      <c r="M13" s="953">
        <v>140970.476</v>
      </c>
      <c r="N13" s="953">
        <v>145339.52600000001</v>
      </c>
      <c r="O13" s="953">
        <v>147292.73699999999</v>
      </c>
      <c r="P13" s="953">
        <v>146532.65099999995</v>
      </c>
      <c r="Q13" s="953">
        <v>146960.48500000002</v>
      </c>
      <c r="R13" s="953">
        <v>148789.70000000001</v>
      </c>
      <c r="S13" s="953">
        <v>150259.33100000001</v>
      </c>
      <c r="T13" s="953">
        <v>154286.27299999999</v>
      </c>
      <c r="U13" s="953">
        <v>155930.22899999999</v>
      </c>
      <c r="V13" s="953">
        <v>156537.50899999999</v>
      </c>
      <c r="W13" s="953">
        <v>156274.04199999999</v>
      </c>
      <c r="X13" s="953">
        <v>156283.66200000001</v>
      </c>
      <c r="Y13" s="953">
        <v>185400.40299999999</v>
      </c>
      <c r="Z13" s="953">
        <v>185950.125</v>
      </c>
      <c r="AA13" s="953">
        <v>187519.861</v>
      </c>
      <c r="AB13" s="953">
        <v>190569.93900000001</v>
      </c>
      <c r="AC13" s="953">
        <v>193688.261</v>
      </c>
      <c r="AD13" s="953">
        <v>193727.78099999999</v>
      </c>
      <c r="AE13" s="953">
        <v>198700.91699999999</v>
      </c>
      <c r="AF13" s="953">
        <v>196236.875</v>
      </c>
      <c r="AG13" s="953">
        <v>199992.03899999999</v>
      </c>
      <c r="AH13" s="953">
        <v>201331.77499999999</v>
      </c>
      <c r="AI13" s="953">
        <v>208609.2</v>
      </c>
      <c r="AJ13" s="953">
        <v>208722</v>
      </c>
      <c r="AK13" s="953">
        <v>212738</v>
      </c>
      <c r="AL13" s="953">
        <v>214048</v>
      </c>
      <c r="AM13" s="954">
        <v>213452</v>
      </c>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row>
    <row r="14" spans="1:82" ht="21" customHeight="1">
      <c r="A14" s="955" t="s">
        <v>602</v>
      </c>
      <c r="B14" s="956" t="s">
        <v>618</v>
      </c>
      <c r="C14" s="956"/>
      <c r="D14" s="1282"/>
      <c r="E14" s="593">
        <v>-1191.307</v>
      </c>
      <c r="F14" s="593">
        <v>-1210.6189999999999</v>
      </c>
      <c r="G14" s="593">
        <v>-1365.5740000000001</v>
      </c>
      <c r="H14" s="593">
        <v>-1414.6</v>
      </c>
      <c r="I14" s="593">
        <v>-1553.0830000000001</v>
      </c>
      <c r="J14" s="593">
        <v>-1585.481</v>
      </c>
      <c r="K14" s="593">
        <v>-1765.9559999999999</v>
      </c>
      <c r="L14" s="593">
        <v>-1766.25</v>
      </c>
      <c r="M14" s="593">
        <v>-1722.4570000000001</v>
      </c>
      <c r="N14" s="593">
        <v>-1943.952</v>
      </c>
      <c r="O14" s="593">
        <v>-2079.6210000000001</v>
      </c>
      <c r="P14" s="593">
        <v>-2161.4810000000002</v>
      </c>
      <c r="Q14" s="593">
        <v>-2247.56</v>
      </c>
      <c r="R14" s="593">
        <v>-2440.6970000000001</v>
      </c>
      <c r="S14" s="593">
        <v>-2707.9279999999999</v>
      </c>
      <c r="T14" s="593">
        <v>-2899.777</v>
      </c>
      <c r="U14" s="593">
        <v>-2765.4920000000002</v>
      </c>
      <c r="V14" s="593">
        <v>-2620.8069999999998</v>
      </c>
      <c r="W14" s="593">
        <v>-2292.2179999999998</v>
      </c>
      <c r="X14" s="593">
        <v>-2169.136</v>
      </c>
      <c r="Y14" s="593">
        <v>-2345.8969999999999</v>
      </c>
      <c r="Z14" s="593">
        <v>-2533.636</v>
      </c>
      <c r="AA14" s="593">
        <v>-2963.7330000000002</v>
      </c>
      <c r="AB14" s="593">
        <v>-3002.5039999999999</v>
      </c>
      <c r="AC14" s="593">
        <v>-3021.12</v>
      </c>
      <c r="AD14" s="593">
        <v>-3026.0819999999999</v>
      </c>
      <c r="AE14" s="593">
        <v>-2895.857</v>
      </c>
      <c r="AF14" s="593">
        <v>-2792.3229999999999</v>
      </c>
      <c r="AG14" s="593">
        <v>-2783.239</v>
      </c>
      <c r="AH14" s="593">
        <v>-2758.8090000000002</v>
      </c>
      <c r="AI14" s="593">
        <v>-2608.3000000000002</v>
      </c>
      <c r="AJ14" s="593">
        <v>-2530</v>
      </c>
      <c r="AK14" s="593">
        <v>-2419</v>
      </c>
      <c r="AL14" s="593">
        <v>-2246</v>
      </c>
      <c r="AM14" s="1283">
        <v>-2103</v>
      </c>
    </row>
    <row r="15" spans="1:82" s="110" customFormat="1">
      <c r="A15" s="942" t="s">
        <v>600</v>
      </c>
      <c r="B15" s="946" t="s">
        <v>613</v>
      </c>
      <c r="C15" s="946"/>
      <c r="D15" s="1284"/>
      <c r="E15" s="1284"/>
      <c r="F15" s="1284"/>
      <c r="G15" s="1285">
        <v>-1365.5740000000001</v>
      </c>
      <c r="H15" s="1284"/>
      <c r="I15" s="1284"/>
      <c r="J15" s="1284"/>
      <c r="K15" s="1285">
        <v>-1765.9559999999999</v>
      </c>
      <c r="L15" s="1285">
        <v>-1766.25</v>
      </c>
      <c r="M15" s="1285">
        <v>-1722.4570000000001</v>
      </c>
      <c r="N15" s="1285">
        <v>-1943.952</v>
      </c>
      <c r="O15" s="1285">
        <v>-2079.6210000000001</v>
      </c>
      <c r="P15" s="1285">
        <v>-2161.4810000000002</v>
      </c>
      <c r="Q15" s="1285">
        <v>-2247.56</v>
      </c>
      <c r="R15" s="1285">
        <v>-2426.6080000000002</v>
      </c>
      <c r="S15" s="1285">
        <v>-2647.4810000000002</v>
      </c>
      <c r="T15" s="1285">
        <v>-2825.933</v>
      </c>
      <c r="U15" s="1285">
        <v>-2695.6190000000001</v>
      </c>
      <c r="V15" s="1285">
        <v>-2600.1990000000001</v>
      </c>
      <c r="W15" s="1285">
        <v>-2276.0929999999998</v>
      </c>
      <c r="X15" s="1285">
        <v>-2152.549</v>
      </c>
      <c r="Y15" s="1285">
        <v>-2329.768</v>
      </c>
      <c r="Z15" s="1285">
        <v>-2517.09</v>
      </c>
      <c r="AA15" s="1285">
        <v>-2948.0250000000001</v>
      </c>
      <c r="AB15" s="1285">
        <v>-2989.9549999999999</v>
      </c>
      <c r="AC15" s="1285">
        <v>-3011.1039999999998</v>
      </c>
      <c r="AD15" s="1285">
        <v>-3017.0360000000001</v>
      </c>
      <c r="AE15" s="1285">
        <v>-2882.3519999999999</v>
      </c>
      <c r="AF15" s="1285">
        <v>-2782.067</v>
      </c>
      <c r="AG15" s="1285">
        <v>-2771.482</v>
      </c>
      <c r="AH15" s="1285">
        <v>-2747.5430000000001</v>
      </c>
      <c r="AI15" s="1285">
        <v>-2593.9</v>
      </c>
      <c r="AJ15" s="1285">
        <v>-2519</v>
      </c>
      <c r="AK15" s="1285">
        <v>-2412</v>
      </c>
      <c r="AL15" s="1285">
        <v>-2238</v>
      </c>
      <c r="AM15" s="1286">
        <v>-2097</v>
      </c>
      <c r="AN15" s="934"/>
      <c r="AO15" s="934"/>
      <c r="AP15" s="934"/>
      <c r="AQ15" s="934"/>
      <c r="AR15" s="934"/>
      <c r="AS15" s="934"/>
      <c r="AT15" s="934"/>
      <c r="AU15" s="934"/>
      <c r="AV15" s="934"/>
      <c r="AW15" s="934"/>
      <c r="AX15" s="934"/>
      <c r="AY15" s="934"/>
      <c r="AZ15" s="934"/>
      <c r="BA15" s="934"/>
      <c r="BB15" s="934"/>
      <c r="BC15" s="934"/>
      <c r="BD15" s="934"/>
      <c r="BE15" s="934"/>
      <c r="BF15" s="934"/>
      <c r="BG15" s="934"/>
      <c r="BH15" s="934"/>
      <c r="BI15" s="934"/>
      <c r="BJ15" s="934"/>
      <c r="BK15" s="934"/>
      <c r="BL15" s="934"/>
      <c r="BM15" s="934"/>
      <c r="BN15" s="934"/>
      <c r="BO15" s="934"/>
      <c r="BP15" s="934"/>
      <c r="BQ15" s="934"/>
      <c r="BR15" s="934"/>
      <c r="BS15" s="934"/>
      <c r="BT15" s="934"/>
      <c r="BU15" s="934"/>
      <c r="BV15" s="934"/>
      <c r="BW15" s="934"/>
      <c r="BX15" s="934"/>
      <c r="BY15" s="934"/>
      <c r="BZ15" s="934"/>
      <c r="CA15" s="934"/>
      <c r="CB15" s="934"/>
      <c r="CC15" s="934"/>
      <c r="CD15" s="934"/>
    </row>
    <row r="16" spans="1:82">
      <c r="A16" s="955" t="s">
        <v>604</v>
      </c>
      <c r="B16" s="956" t="s">
        <v>619</v>
      </c>
      <c r="C16" s="956"/>
      <c r="D16" s="1282"/>
      <c r="E16" s="593">
        <v>-1652.1089999999999</v>
      </c>
      <c r="F16" s="593">
        <v>-1732.46</v>
      </c>
      <c r="G16" s="593">
        <v>-1989.8679999999999</v>
      </c>
      <c r="H16" s="593">
        <v>-2252.739</v>
      </c>
      <c r="I16" s="593">
        <v>-2346.0630000000001</v>
      </c>
      <c r="J16" s="593">
        <v>-2703.2170000000001</v>
      </c>
      <c r="K16" s="593">
        <v>-2593.1030000000001</v>
      </c>
      <c r="L16" s="593">
        <v>-2838.4989999999998</v>
      </c>
      <c r="M16" s="593">
        <v>-2884.5610000000001</v>
      </c>
      <c r="N16" s="593">
        <v>-2965.1010000000001</v>
      </c>
      <c r="O16" s="593">
        <v>-2910.0419999999999</v>
      </c>
      <c r="P16" s="593">
        <v>-3158.873</v>
      </c>
      <c r="Q16" s="593">
        <v>-3077.0630000000001</v>
      </c>
      <c r="R16" s="593">
        <v>-3398.4679999999998</v>
      </c>
      <c r="S16" s="593">
        <v>-3516.549</v>
      </c>
      <c r="T16" s="593">
        <v>-3791.1390000000001</v>
      </c>
      <c r="U16" s="593">
        <v>-3788.8870000000002</v>
      </c>
      <c r="V16" s="593">
        <v>-3682.3110000000001</v>
      </c>
      <c r="W16" s="593">
        <v>-3772.723</v>
      </c>
      <c r="X16" s="593">
        <v>-3931.453</v>
      </c>
      <c r="Y16" s="593">
        <v>-4429.7280000000001</v>
      </c>
      <c r="Z16" s="593">
        <v>-4506.1689999999999</v>
      </c>
      <c r="AA16" s="593">
        <v>-4426.8689999999997</v>
      </c>
      <c r="AB16" s="593">
        <v>-4508.7489999999998</v>
      </c>
      <c r="AC16" s="593">
        <v>-4644.4449999999997</v>
      </c>
      <c r="AD16" s="593">
        <v>-4822.8609999999999</v>
      </c>
      <c r="AE16" s="593">
        <v>-4822.183</v>
      </c>
      <c r="AF16" s="593">
        <v>-4963.8649999999998</v>
      </c>
      <c r="AG16" s="593">
        <v>-5118.3729999999996</v>
      </c>
      <c r="AH16" s="593">
        <v>-4850.3990000000003</v>
      </c>
      <c r="AI16" s="593">
        <v>-4765.8</v>
      </c>
      <c r="AJ16" s="593">
        <v>-4980</v>
      </c>
      <c r="AK16" s="593">
        <v>-5013</v>
      </c>
      <c r="AL16" s="593">
        <v>-5221</v>
      </c>
      <c r="AM16" s="594">
        <v>-5000</v>
      </c>
    </row>
    <row r="17" spans="1:82">
      <c r="A17" s="955" t="s">
        <v>605</v>
      </c>
      <c r="B17" s="956" t="s">
        <v>620</v>
      </c>
      <c r="C17" s="956"/>
      <c r="D17" s="1282"/>
      <c r="E17" s="593">
        <v>-558.47500000000002</v>
      </c>
      <c r="F17" s="593">
        <v>-588.11</v>
      </c>
      <c r="G17" s="593">
        <v>-581.68200000000002</v>
      </c>
      <c r="H17" s="593">
        <v>-694.72699999999998</v>
      </c>
      <c r="I17" s="593">
        <v>-626.06700000000001</v>
      </c>
      <c r="J17" s="593">
        <v>-527.60599999999999</v>
      </c>
      <c r="K17" s="593">
        <v>-497.61099999999999</v>
      </c>
      <c r="L17" s="593">
        <v>-628.46100000000001</v>
      </c>
      <c r="M17" s="593">
        <v>-683.01900000000001</v>
      </c>
      <c r="N17" s="593">
        <v>-735.19200000000001</v>
      </c>
      <c r="O17" s="593">
        <v>-668.58</v>
      </c>
      <c r="P17" s="593">
        <v>-648.96400000000006</v>
      </c>
      <c r="Q17" s="593">
        <v>-692.44200000000001</v>
      </c>
      <c r="R17" s="593">
        <v>-635.44799999999998</v>
      </c>
      <c r="S17" s="593">
        <v>-551.78800000000001</v>
      </c>
      <c r="T17" s="593">
        <v>-506.24700000000001</v>
      </c>
      <c r="U17" s="593">
        <v>-691.40499999999997</v>
      </c>
      <c r="V17" s="593">
        <v>-623.05600000000004</v>
      </c>
      <c r="W17" s="593">
        <v>-585.83900000000006</v>
      </c>
      <c r="X17" s="593">
        <v>-522.20799999999997</v>
      </c>
      <c r="Y17" s="593">
        <v>-630.81899999999996</v>
      </c>
      <c r="Z17" s="593">
        <v>-577.02</v>
      </c>
      <c r="AA17" s="593">
        <v>-631.875</v>
      </c>
      <c r="AB17" s="593">
        <v>-618.28</v>
      </c>
      <c r="AC17" s="593">
        <v>-686.60699999999997</v>
      </c>
      <c r="AD17" s="593">
        <v>-685.72299999999996</v>
      </c>
      <c r="AE17" s="593">
        <v>-569.16899999999998</v>
      </c>
      <c r="AF17" s="593">
        <v>-611.58000000000004</v>
      </c>
      <c r="AG17" s="593">
        <v>-575.05499999999995</v>
      </c>
      <c r="AH17" s="593">
        <v>-548.22400000000005</v>
      </c>
      <c r="AI17" s="593">
        <v>-628.6</v>
      </c>
      <c r="AJ17" s="593">
        <v>-633</v>
      </c>
      <c r="AK17" s="593">
        <v>-686</v>
      </c>
      <c r="AL17" s="593">
        <v>-772</v>
      </c>
      <c r="AM17" s="594">
        <v>-720</v>
      </c>
    </row>
    <row r="18" spans="1:82">
      <c r="A18" s="982" t="s">
        <v>639</v>
      </c>
      <c r="B18" s="983" t="s">
        <v>640</v>
      </c>
      <c r="C18" s="983"/>
      <c r="D18" s="1282"/>
      <c r="E18" s="593">
        <v>-55.192</v>
      </c>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282"/>
      <c r="AM18" s="1287"/>
    </row>
    <row r="19" spans="1:82" s="118" customFormat="1">
      <c r="A19" s="938" t="s">
        <v>606</v>
      </c>
      <c r="B19" s="939" t="s">
        <v>621</v>
      </c>
      <c r="C19" s="939"/>
      <c r="D19" s="1288">
        <v>-3290.2049999999999</v>
      </c>
      <c r="E19" s="1288">
        <f>E14+E16+E17+E18</f>
        <v>-3457.0830000000001</v>
      </c>
      <c r="F19" s="1288">
        <f t="shared" ref="F19:AA19" si="1">F14+F16+F17</f>
        <v>-3531.1889999999999</v>
      </c>
      <c r="G19" s="1288">
        <f t="shared" si="1"/>
        <v>-3937.1239999999998</v>
      </c>
      <c r="H19" s="1288">
        <f t="shared" si="1"/>
        <v>-4362.0659999999998</v>
      </c>
      <c r="I19" s="1288">
        <f t="shared" si="1"/>
        <v>-4525.2129999999997</v>
      </c>
      <c r="J19" s="1288">
        <f t="shared" si="1"/>
        <v>-4816.3040000000001</v>
      </c>
      <c r="K19" s="1288">
        <f t="shared" si="1"/>
        <v>-4856.67</v>
      </c>
      <c r="L19" s="1288">
        <f t="shared" si="1"/>
        <v>-5233.21</v>
      </c>
      <c r="M19" s="1288">
        <f t="shared" si="1"/>
        <v>-5290.0370000000003</v>
      </c>
      <c r="N19" s="1288">
        <f t="shared" si="1"/>
        <v>-5644.2449999999999</v>
      </c>
      <c r="O19" s="1288">
        <f t="shared" si="1"/>
        <v>-5658.2430000000004</v>
      </c>
      <c r="P19" s="1288">
        <v>-5969.3180000000002</v>
      </c>
      <c r="Q19" s="1288">
        <v>-6017.0649999999996</v>
      </c>
      <c r="R19" s="1288">
        <v>-6474.6130000000003</v>
      </c>
      <c r="S19" s="1288">
        <f t="shared" si="1"/>
        <v>-6776.2649999999994</v>
      </c>
      <c r="T19" s="1288">
        <f t="shared" si="1"/>
        <v>-7197.1630000000005</v>
      </c>
      <c r="U19" s="1288">
        <f t="shared" si="1"/>
        <v>-7245.7840000000006</v>
      </c>
      <c r="V19" s="1288">
        <f t="shared" si="1"/>
        <v>-6926.1740000000009</v>
      </c>
      <c r="W19" s="1288">
        <f t="shared" si="1"/>
        <v>-6650.78</v>
      </c>
      <c r="X19" s="1288">
        <f t="shared" si="1"/>
        <v>-6622.7969999999996</v>
      </c>
      <c r="Y19" s="1288">
        <f t="shared" si="1"/>
        <v>-7406.4439999999995</v>
      </c>
      <c r="Z19" s="1288">
        <f t="shared" si="1"/>
        <v>-7616.8250000000007</v>
      </c>
      <c r="AA19" s="1288">
        <f t="shared" si="1"/>
        <v>-8022.4769999999999</v>
      </c>
      <c r="AB19" s="1288">
        <f>AB14+AB16+AB17</f>
        <v>-8129.5329999999994</v>
      </c>
      <c r="AC19" s="1288">
        <f t="shared" ref="AC19:AH19" si="2">AC14+AC16+AC17</f>
        <v>-8352.1719999999987</v>
      </c>
      <c r="AD19" s="1288">
        <f t="shared" si="2"/>
        <v>-8534.6659999999993</v>
      </c>
      <c r="AE19" s="1288">
        <f t="shared" si="2"/>
        <v>-8287.2090000000007</v>
      </c>
      <c r="AF19" s="1288">
        <f t="shared" si="2"/>
        <v>-8367.768</v>
      </c>
      <c r="AG19" s="1288">
        <f t="shared" si="2"/>
        <v>-8476.6669999999995</v>
      </c>
      <c r="AH19" s="1288">
        <f t="shared" si="2"/>
        <v>-8157.4320000000007</v>
      </c>
      <c r="AI19" s="1288">
        <f>AI16+AI17+AI14</f>
        <v>-8002.7000000000007</v>
      </c>
      <c r="AJ19" s="1288">
        <f t="shared" ref="AJ19:AM19" si="3">AJ16+AJ17+AJ14</f>
        <v>-8143</v>
      </c>
      <c r="AK19" s="1288">
        <f t="shared" si="3"/>
        <v>-8118</v>
      </c>
      <c r="AL19" s="1288">
        <f t="shared" si="3"/>
        <v>-8239</v>
      </c>
      <c r="AM19" s="1289">
        <f t="shared" si="3"/>
        <v>-7823</v>
      </c>
      <c r="AN19" s="935"/>
      <c r="AO19" s="935"/>
      <c r="AP19" s="935"/>
      <c r="AQ19" s="935"/>
      <c r="AR19" s="935"/>
      <c r="AS19" s="935"/>
      <c r="AT19" s="935"/>
      <c r="AU19" s="935"/>
      <c r="AV19" s="935"/>
      <c r="AW19" s="935"/>
      <c r="AX19" s="935"/>
      <c r="AY19" s="935"/>
      <c r="AZ19" s="935"/>
      <c r="BA19" s="935"/>
      <c r="BB19" s="935"/>
      <c r="BC19" s="935"/>
      <c r="BD19" s="935"/>
      <c r="BE19" s="935"/>
      <c r="BF19" s="935"/>
      <c r="BG19" s="935"/>
      <c r="BH19" s="935"/>
      <c r="BI19" s="935"/>
      <c r="BJ19" s="935"/>
      <c r="BK19" s="935"/>
      <c r="BL19" s="935"/>
      <c r="BM19" s="935"/>
      <c r="BN19" s="935"/>
      <c r="BO19" s="935"/>
      <c r="BP19" s="935"/>
      <c r="BQ19" s="935"/>
      <c r="BR19" s="935"/>
      <c r="BS19" s="935"/>
      <c r="BT19" s="935"/>
      <c r="BU19" s="935"/>
      <c r="BV19" s="935"/>
      <c r="BW19" s="935"/>
      <c r="BX19" s="935"/>
      <c r="BY19" s="935"/>
      <c r="BZ19" s="935"/>
      <c r="CA19" s="935"/>
      <c r="CB19" s="935"/>
      <c r="CC19" s="935"/>
      <c r="CD19" s="935"/>
    </row>
    <row r="20" spans="1:82" s="115" customFormat="1" ht="15">
      <c r="A20" s="951" t="s">
        <v>118</v>
      </c>
      <c r="B20" s="952" t="s">
        <v>347</v>
      </c>
      <c r="C20" s="952"/>
      <c r="D20" s="953">
        <v>106540.209</v>
      </c>
      <c r="E20" s="953">
        <v>107798.572</v>
      </c>
      <c r="F20" s="953">
        <v>111817.05499999999</v>
      </c>
      <c r="G20" s="953">
        <v>116572.58500000001</v>
      </c>
      <c r="H20" s="953">
        <v>117892.444</v>
      </c>
      <c r="I20" s="953">
        <v>124665.467</v>
      </c>
      <c r="J20" s="953">
        <v>126715.1</v>
      </c>
      <c r="K20" s="953">
        <v>130668.11900000001</v>
      </c>
      <c r="L20" s="953">
        <v>132419.804</v>
      </c>
      <c r="M20" s="953">
        <v>135680.43900000001</v>
      </c>
      <c r="N20" s="953">
        <v>139695.28099999999</v>
      </c>
      <c r="O20" s="953">
        <v>141634.49400000001</v>
      </c>
      <c r="P20" s="953">
        <v>140563</v>
      </c>
      <c r="Q20" s="953">
        <v>140943</v>
      </c>
      <c r="R20" s="953">
        <v>142315</v>
      </c>
      <c r="S20" s="953">
        <v>143483.06599999999</v>
      </c>
      <c r="T20" s="953">
        <v>147089.10999999999</v>
      </c>
      <c r="U20" s="953">
        <v>148684.44500000001</v>
      </c>
      <c r="V20" s="953">
        <v>149611.33499999999</v>
      </c>
      <c r="W20" s="953">
        <v>149623.26199999999</v>
      </c>
      <c r="X20" s="953">
        <v>149660.86499999999</v>
      </c>
      <c r="Y20" s="953">
        <v>177993.959</v>
      </c>
      <c r="Z20" s="953">
        <v>178333.3</v>
      </c>
      <c r="AA20" s="953">
        <v>179497.38399999999</v>
      </c>
      <c r="AB20" s="953">
        <v>182440.40599999999</v>
      </c>
      <c r="AC20" s="953">
        <v>185336.08900000001</v>
      </c>
      <c r="AD20" s="953">
        <v>185193.11499999999</v>
      </c>
      <c r="AE20" s="953">
        <v>190413.70800000001</v>
      </c>
      <c r="AF20" s="953">
        <v>187869.10699999999</v>
      </c>
      <c r="AG20" s="953">
        <v>191515.372</v>
      </c>
      <c r="AH20" s="953">
        <v>193174.34299999999</v>
      </c>
      <c r="AI20" s="953">
        <v>200606.5</v>
      </c>
      <c r="AJ20" s="953">
        <v>200579</v>
      </c>
      <c r="AK20" s="953">
        <v>204620</v>
      </c>
      <c r="AL20" s="953">
        <v>205809</v>
      </c>
      <c r="AM20" s="954">
        <v>205629</v>
      </c>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row>
    <row r="21" spans="1:82" s="121" customFormat="1">
      <c r="A21" s="957"/>
      <c r="B21" s="958"/>
      <c r="C21" s="958"/>
      <c r="D21" s="959"/>
      <c r="E21" s="959"/>
      <c r="F21" s="959"/>
      <c r="G21" s="959"/>
      <c r="H21" s="959"/>
      <c r="I21" s="959"/>
      <c r="J21" s="959"/>
      <c r="K21" s="959"/>
      <c r="L21" s="959"/>
      <c r="M21" s="959"/>
      <c r="N21" s="959"/>
      <c r="O21" s="959"/>
      <c r="P21" s="959"/>
      <c r="Q21" s="949"/>
      <c r="R21" s="949"/>
      <c r="S21" s="949"/>
      <c r="T21" s="949"/>
      <c r="U21" s="949"/>
      <c r="V21" s="949"/>
      <c r="W21" s="949"/>
      <c r="X21" s="949"/>
      <c r="Y21" s="949"/>
      <c r="Z21" s="949"/>
      <c r="AA21" s="949"/>
      <c r="AB21" s="949"/>
      <c r="AC21" s="949"/>
      <c r="AD21" s="959"/>
      <c r="AE21" s="959"/>
      <c r="AF21" s="959"/>
      <c r="AG21" s="959"/>
      <c r="AH21" s="959"/>
      <c r="AI21" s="959"/>
      <c r="AJ21" s="959"/>
      <c r="AK21" s="959"/>
      <c r="AL21" s="959"/>
      <c r="AM21" s="960"/>
      <c r="AN21" s="936"/>
      <c r="AO21" s="936"/>
      <c r="AP21" s="936"/>
      <c r="AQ21" s="936"/>
      <c r="AR21" s="936"/>
      <c r="AS21" s="936"/>
      <c r="AT21" s="936"/>
      <c r="AU21" s="936"/>
      <c r="AV21" s="936"/>
      <c r="AW21" s="936"/>
      <c r="AX21" s="936"/>
      <c r="AY21" s="936"/>
      <c r="AZ21" s="936"/>
      <c r="BA21" s="936"/>
      <c r="BB21" s="936"/>
      <c r="BC21" s="936"/>
      <c r="BD21" s="936"/>
      <c r="BE21" s="936"/>
      <c r="BF21" s="936"/>
      <c r="BG21" s="936"/>
      <c r="BH21" s="936"/>
      <c r="BI21" s="936"/>
      <c r="BJ21" s="936"/>
      <c r="BK21" s="936"/>
      <c r="BL21" s="936"/>
      <c r="BM21" s="936"/>
      <c r="BN21" s="936"/>
      <c r="BO21" s="936"/>
      <c r="BP21" s="936"/>
      <c r="BQ21" s="936"/>
      <c r="BR21" s="936"/>
      <c r="BS21" s="936"/>
      <c r="BT21" s="936"/>
      <c r="BU21" s="936"/>
      <c r="BV21" s="936"/>
      <c r="BW21" s="936"/>
      <c r="BX21" s="936"/>
      <c r="BY21" s="936"/>
      <c r="BZ21" s="936"/>
      <c r="CA21" s="936"/>
      <c r="CB21" s="936"/>
      <c r="CC21" s="936"/>
      <c r="CD21" s="936"/>
    </row>
    <row r="22" spans="1:82" s="89" customFormat="1" ht="30">
      <c r="A22" s="961" t="s">
        <v>609</v>
      </c>
      <c r="B22" s="962" t="s">
        <v>633</v>
      </c>
      <c r="C22" s="962"/>
      <c r="D22" s="763" t="s">
        <v>304</v>
      </c>
      <c r="E22" s="763" t="s">
        <v>303</v>
      </c>
      <c r="F22" s="763" t="s">
        <v>302</v>
      </c>
      <c r="G22" s="763" t="s">
        <v>301</v>
      </c>
      <c r="H22" s="763" t="s">
        <v>297</v>
      </c>
      <c r="I22" s="763" t="s">
        <v>298</v>
      </c>
      <c r="J22" s="763" t="s">
        <v>299</v>
      </c>
      <c r="K22" s="763" t="s">
        <v>300</v>
      </c>
      <c r="L22" s="763" t="s">
        <v>296</v>
      </c>
      <c r="M22" s="763" t="s">
        <v>295</v>
      </c>
      <c r="N22" s="763" t="s">
        <v>294</v>
      </c>
      <c r="O22" s="763" t="s">
        <v>293</v>
      </c>
      <c r="P22" s="763" t="s">
        <v>292</v>
      </c>
      <c r="Q22" s="763" t="s">
        <v>291</v>
      </c>
      <c r="R22" s="763" t="s">
        <v>290</v>
      </c>
      <c r="S22" s="763" t="s">
        <v>289</v>
      </c>
      <c r="T22" s="763" t="s">
        <v>288</v>
      </c>
      <c r="U22" s="763" t="s">
        <v>287</v>
      </c>
      <c r="V22" s="763" t="s">
        <v>286</v>
      </c>
      <c r="W22" s="763" t="s">
        <v>285</v>
      </c>
      <c r="X22" s="763" t="s">
        <v>281</v>
      </c>
      <c r="Y22" s="763" t="s">
        <v>282</v>
      </c>
      <c r="Z22" s="763" t="s">
        <v>283</v>
      </c>
      <c r="AA22" s="763" t="s">
        <v>284</v>
      </c>
      <c r="AB22" s="763" t="s">
        <v>277</v>
      </c>
      <c r="AC22" s="763" t="s">
        <v>278</v>
      </c>
      <c r="AD22" s="763" t="s">
        <v>279</v>
      </c>
      <c r="AE22" s="763" t="s">
        <v>280</v>
      </c>
      <c r="AF22" s="763" t="s">
        <v>274</v>
      </c>
      <c r="AG22" s="763" t="s">
        <v>275</v>
      </c>
      <c r="AH22" s="763" t="s">
        <v>276</v>
      </c>
      <c r="AI22" s="763" t="s">
        <v>256</v>
      </c>
      <c r="AJ22" s="763" t="s">
        <v>273</v>
      </c>
      <c r="AK22" s="763" t="s">
        <v>272</v>
      </c>
      <c r="AL22" s="763" t="s">
        <v>255</v>
      </c>
      <c r="AM22" s="764" t="s">
        <v>271</v>
      </c>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row>
    <row r="23" spans="1:82">
      <c r="A23" s="955" t="s">
        <v>610</v>
      </c>
      <c r="B23" s="963" t="s">
        <v>634</v>
      </c>
      <c r="C23" s="963"/>
      <c r="D23" s="604"/>
      <c r="E23" s="949">
        <f t="shared" ref="E23:AD23" si="4">E7+E10</f>
        <v>2876.6689999999999</v>
      </c>
      <c r="F23" s="949">
        <f t="shared" si="4"/>
        <v>3234.623</v>
      </c>
      <c r="G23" s="949">
        <f t="shared" si="4"/>
        <v>9108.15</v>
      </c>
      <c r="H23" s="949">
        <f t="shared" si="4"/>
        <v>4122.0680000000002</v>
      </c>
      <c r="I23" s="949">
        <f t="shared" si="4"/>
        <v>4324.9449999999997</v>
      </c>
      <c r="J23" s="949">
        <f t="shared" si="4"/>
        <v>4814.9229999999998</v>
      </c>
      <c r="K23" s="949">
        <f t="shared" si="4"/>
        <v>10887.173999999999</v>
      </c>
      <c r="L23" s="949">
        <f t="shared" si="4"/>
        <v>10313.446</v>
      </c>
      <c r="M23" s="949">
        <f t="shared" si="4"/>
        <v>10762.827000000001</v>
      </c>
      <c r="N23" s="949">
        <f t="shared" si="4"/>
        <v>11712.772000000001</v>
      </c>
      <c r="O23" s="949">
        <f t="shared" si="4"/>
        <v>11797.232</v>
      </c>
      <c r="P23" s="949">
        <f t="shared" si="4"/>
        <v>12082.748</v>
      </c>
      <c r="Q23" s="949">
        <f t="shared" si="4"/>
        <v>12401.345000000001</v>
      </c>
      <c r="R23" s="949">
        <f t="shared" si="4"/>
        <v>12816.198</v>
      </c>
      <c r="S23" s="949">
        <f t="shared" si="4"/>
        <v>13416.97</v>
      </c>
      <c r="T23" s="949">
        <f t="shared" si="4"/>
        <v>14210.288</v>
      </c>
      <c r="U23" s="949">
        <f t="shared" si="4"/>
        <v>14139.310000000001</v>
      </c>
      <c r="V23" s="949">
        <f t="shared" si="4"/>
        <v>13469.824000000001</v>
      </c>
      <c r="W23" s="949">
        <f t="shared" si="4"/>
        <v>12861.351999999999</v>
      </c>
      <c r="X23" s="949">
        <f t="shared" si="4"/>
        <v>12622.102999999999</v>
      </c>
      <c r="Y23" s="949">
        <f t="shared" si="4"/>
        <v>13294.2</v>
      </c>
      <c r="Z23" s="949">
        <f t="shared" si="4"/>
        <v>13110.82</v>
      </c>
      <c r="AA23" s="949">
        <f t="shared" si="4"/>
        <v>12977.31</v>
      </c>
      <c r="AB23" s="949">
        <f t="shared" si="4"/>
        <v>12942.720000000001</v>
      </c>
      <c r="AC23" s="949">
        <f t="shared" si="4"/>
        <v>13275.076000000001</v>
      </c>
      <c r="AD23" s="949">
        <f t="shared" si="4"/>
        <v>13438.172999999999</v>
      </c>
      <c r="AE23" s="949">
        <v>13100.91</v>
      </c>
      <c r="AF23" s="949">
        <v>12953.561</v>
      </c>
      <c r="AG23" s="949">
        <v>13045.742</v>
      </c>
      <c r="AH23" s="949">
        <v>12496.367</v>
      </c>
      <c r="AI23" s="949">
        <v>12220.1</v>
      </c>
      <c r="AJ23" s="949">
        <v>12248</v>
      </c>
      <c r="AK23" s="949">
        <v>12103</v>
      </c>
      <c r="AL23" s="949">
        <v>12012</v>
      </c>
      <c r="AM23" s="950">
        <v>11678</v>
      </c>
    </row>
    <row r="24" spans="1:82">
      <c r="A24" s="955" t="s">
        <v>611</v>
      </c>
      <c r="B24" s="963" t="s">
        <v>635</v>
      </c>
      <c r="C24" s="963"/>
      <c r="D24" s="604"/>
      <c r="E24" s="949">
        <f t="shared" ref="E24:Y24" si="5">E25-E23</f>
        <v>108378.986</v>
      </c>
      <c r="F24" s="949">
        <f t="shared" si="5"/>
        <v>112113.621</v>
      </c>
      <c r="G24" s="949">
        <f t="shared" si="5"/>
        <v>111401.55900000001</v>
      </c>
      <c r="H24" s="949">
        <f t="shared" si="5"/>
        <v>118132.442</v>
      </c>
      <c r="I24" s="949">
        <f t="shared" si="5"/>
        <v>124865.73499999999</v>
      </c>
      <c r="J24" s="949">
        <f t="shared" si="5"/>
        <v>126716.48100000001</v>
      </c>
      <c r="K24" s="949">
        <f t="shared" si="5"/>
        <v>124637.61499999999</v>
      </c>
      <c r="L24" s="949">
        <f t="shared" si="5"/>
        <v>127339.568</v>
      </c>
      <c r="M24" s="949">
        <f t="shared" si="5"/>
        <v>130207.64899999999</v>
      </c>
      <c r="N24" s="949">
        <f t="shared" si="5"/>
        <v>133626.75400000002</v>
      </c>
      <c r="O24" s="949">
        <f t="shared" si="5"/>
        <v>135495.505</v>
      </c>
      <c r="P24" s="949">
        <f t="shared" si="5"/>
        <v>134449.90299999996</v>
      </c>
      <c r="Q24" s="949">
        <f t="shared" si="5"/>
        <v>134559.14000000001</v>
      </c>
      <c r="R24" s="949">
        <f t="shared" si="5"/>
        <v>135973.50200000001</v>
      </c>
      <c r="S24" s="949">
        <f t="shared" si="5"/>
        <v>136842.361</v>
      </c>
      <c r="T24" s="949">
        <f t="shared" si="5"/>
        <v>140075.98499999999</v>
      </c>
      <c r="U24" s="949">
        <f t="shared" si="5"/>
        <v>141790.91899999999</v>
      </c>
      <c r="V24" s="949">
        <f t="shared" si="5"/>
        <v>143067.685</v>
      </c>
      <c r="W24" s="949">
        <f t="shared" si="5"/>
        <v>143412.69</v>
      </c>
      <c r="X24" s="949">
        <f t="shared" si="5"/>
        <v>143661.55900000001</v>
      </c>
      <c r="Y24" s="949">
        <f t="shared" si="5"/>
        <v>172106.20299999998</v>
      </c>
      <c r="Z24" s="949">
        <f>Z25-Z23</f>
        <v>172839.30499999999</v>
      </c>
      <c r="AA24" s="949">
        <f>AA25-AA23</f>
        <v>174542.55100000001</v>
      </c>
      <c r="AB24" s="949">
        <f>AB25-AB23</f>
        <v>177627.21900000001</v>
      </c>
      <c r="AC24" s="949">
        <f t="shared" ref="AC24:AD24" si="6">AC25-AC23</f>
        <v>180413.185</v>
      </c>
      <c r="AD24" s="949">
        <f t="shared" si="6"/>
        <v>180289.60799999998</v>
      </c>
      <c r="AE24" s="949">
        <v>185600.00700000001</v>
      </c>
      <c r="AF24" s="949">
        <v>183283.31400000001</v>
      </c>
      <c r="AG24" s="949">
        <v>186946.29699999999</v>
      </c>
      <c r="AH24" s="949">
        <v>188835.408</v>
      </c>
      <c r="AI24" s="949">
        <v>196389.1</v>
      </c>
      <c r="AJ24" s="949">
        <v>196474</v>
      </c>
      <c r="AK24" s="949">
        <v>200635</v>
      </c>
      <c r="AL24" s="949">
        <v>202036</v>
      </c>
      <c r="AM24" s="950">
        <v>201774</v>
      </c>
    </row>
    <row r="25" spans="1:82" s="120" customFormat="1" ht="15">
      <c r="A25" s="964" t="s">
        <v>572</v>
      </c>
      <c r="B25" s="965" t="s">
        <v>617</v>
      </c>
      <c r="C25" s="965"/>
      <c r="D25" s="610">
        <f t="shared" ref="D25:AM25" si="7">D13</f>
        <v>109830.414</v>
      </c>
      <c r="E25" s="610">
        <f t="shared" si="7"/>
        <v>111255.655</v>
      </c>
      <c r="F25" s="610">
        <f t="shared" si="7"/>
        <v>115348.24400000001</v>
      </c>
      <c r="G25" s="610">
        <f t="shared" si="7"/>
        <v>120509.709</v>
      </c>
      <c r="H25" s="610">
        <f t="shared" si="7"/>
        <v>122254.51</v>
      </c>
      <c r="I25" s="610">
        <f t="shared" si="7"/>
        <v>129190.68</v>
      </c>
      <c r="J25" s="610">
        <f t="shared" si="7"/>
        <v>131531.40400000001</v>
      </c>
      <c r="K25" s="610">
        <f t="shared" si="7"/>
        <v>135524.78899999999</v>
      </c>
      <c r="L25" s="610">
        <f t="shared" si="7"/>
        <v>137653.014</v>
      </c>
      <c r="M25" s="610">
        <f t="shared" si="7"/>
        <v>140970.476</v>
      </c>
      <c r="N25" s="610">
        <f t="shared" si="7"/>
        <v>145339.52600000001</v>
      </c>
      <c r="O25" s="610">
        <f t="shared" si="7"/>
        <v>147292.73699999999</v>
      </c>
      <c r="P25" s="610">
        <f t="shared" si="7"/>
        <v>146532.65099999995</v>
      </c>
      <c r="Q25" s="610">
        <f t="shared" si="7"/>
        <v>146960.48500000002</v>
      </c>
      <c r="R25" s="610">
        <f t="shared" si="7"/>
        <v>148789.70000000001</v>
      </c>
      <c r="S25" s="610">
        <f t="shared" si="7"/>
        <v>150259.33100000001</v>
      </c>
      <c r="T25" s="610">
        <f t="shared" si="7"/>
        <v>154286.27299999999</v>
      </c>
      <c r="U25" s="610">
        <f t="shared" si="7"/>
        <v>155930.22899999999</v>
      </c>
      <c r="V25" s="610">
        <f t="shared" si="7"/>
        <v>156537.50899999999</v>
      </c>
      <c r="W25" s="610">
        <f t="shared" si="7"/>
        <v>156274.04199999999</v>
      </c>
      <c r="X25" s="610">
        <f t="shared" si="7"/>
        <v>156283.66200000001</v>
      </c>
      <c r="Y25" s="610">
        <f t="shared" si="7"/>
        <v>185400.40299999999</v>
      </c>
      <c r="Z25" s="610">
        <f t="shared" si="7"/>
        <v>185950.125</v>
      </c>
      <c r="AA25" s="610">
        <f t="shared" si="7"/>
        <v>187519.861</v>
      </c>
      <c r="AB25" s="610">
        <f t="shared" si="7"/>
        <v>190569.93900000001</v>
      </c>
      <c r="AC25" s="610">
        <f t="shared" si="7"/>
        <v>193688.261</v>
      </c>
      <c r="AD25" s="610">
        <f t="shared" si="7"/>
        <v>193727.78099999999</v>
      </c>
      <c r="AE25" s="610">
        <f t="shared" si="7"/>
        <v>198700.91699999999</v>
      </c>
      <c r="AF25" s="610">
        <f t="shared" si="7"/>
        <v>196236.875</v>
      </c>
      <c r="AG25" s="610">
        <f t="shared" si="7"/>
        <v>199992.03899999999</v>
      </c>
      <c r="AH25" s="610">
        <f t="shared" si="7"/>
        <v>201331.77499999999</v>
      </c>
      <c r="AI25" s="610">
        <f t="shared" si="7"/>
        <v>208609.2</v>
      </c>
      <c r="AJ25" s="610">
        <f t="shared" si="7"/>
        <v>208722</v>
      </c>
      <c r="AK25" s="610">
        <f t="shared" si="7"/>
        <v>212738</v>
      </c>
      <c r="AL25" s="610">
        <f t="shared" si="7"/>
        <v>214048</v>
      </c>
      <c r="AM25" s="611">
        <f t="shared" si="7"/>
        <v>213452</v>
      </c>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row>
    <row r="26" spans="1:82" ht="15" customHeight="1">
      <c r="A26" s="955" t="s">
        <v>515</v>
      </c>
      <c r="B26" s="956" t="s">
        <v>638</v>
      </c>
      <c r="C26" s="956"/>
      <c r="D26" s="1282">
        <f t="shared" ref="D26:AD26" si="8">D19</f>
        <v>-3290.2049999999999</v>
      </c>
      <c r="E26" s="593">
        <f t="shared" si="8"/>
        <v>-3457.0830000000001</v>
      </c>
      <c r="F26" s="593">
        <f t="shared" si="8"/>
        <v>-3531.1889999999999</v>
      </c>
      <c r="G26" s="593">
        <f t="shared" si="8"/>
        <v>-3937.1239999999998</v>
      </c>
      <c r="H26" s="593">
        <f t="shared" si="8"/>
        <v>-4362.0659999999998</v>
      </c>
      <c r="I26" s="593">
        <f t="shared" si="8"/>
        <v>-4525.2129999999997</v>
      </c>
      <c r="J26" s="593">
        <f t="shared" si="8"/>
        <v>-4816.3040000000001</v>
      </c>
      <c r="K26" s="593">
        <f t="shared" si="8"/>
        <v>-4856.67</v>
      </c>
      <c r="L26" s="593">
        <f t="shared" si="8"/>
        <v>-5233.21</v>
      </c>
      <c r="M26" s="593">
        <f t="shared" si="8"/>
        <v>-5290.0370000000003</v>
      </c>
      <c r="N26" s="593">
        <f t="shared" si="8"/>
        <v>-5644.2449999999999</v>
      </c>
      <c r="O26" s="593">
        <f t="shared" si="8"/>
        <v>-5658.2430000000004</v>
      </c>
      <c r="P26" s="593">
        <f t="shared" si="8"/>
        <v>-5969.3180000000002</v>
      </c>
      <c r="Q26" s="593">
        <f t="shared" si="8"/>
        <v>-6017.0649999999996</v>
      </c>
      <c r="R26" s="593">
        <f t="shared" si="8"/>
        <v>-6474.6130000000003</v>
      </c>
      <c r="S26" s="593">
        <f t="shared" si="8"/>
        <v>-6776.2649999999994</v>
      </c>
      <c r="T26" s="593">
        <f t="shared" si="8"/>
        <v>-7197.1630000000005</v>
      </c>
      <c r="U26" s="593">
        <f t="shared" si="8"/>
        <v>-7245.7840000000006</v>
      </c>
      <c r="V26" s="593">
        <f t="shared" si="8"/>
        <v>-6926.1740000000009</v>
      </c>
      <c r="W26" s="593">
        <f t="shared" si="8"/>
        <v>-6650.78</v>
      </c>
      <c r="X26" s="593">
        <f t="shared" si="8"/>
        <v>-6622.7969999999996</v>
      </c>
      <c r="Y26" s="593">
        <f t="shared" si="8"/>
        <v>-7406.4439999999995</v>
      </c>
      <c r="Z26" s="593">
        <f t="shared" si="8"/>
        <v>-7616.8250000000007</v>
      </c>
      <c r="AA26" s="593">
        <f t="shared" si="8"/>
        <v>-8022.4769999999999</v>
      </c>
      <c r="AB26" s="593">
        <f t="shared" si="8"/>
        <v>-8129.5329999999994</v>
      </c>
      <c r="AC26" s="593">
        <f t="shared" si="8"/>
        <v>-8352.1719999999987</v>
      </c>
      <c r="AD26" s="593">
        <f t="shared" si="8"/>
        <v>-8534.6659999999993</v>
      </c>
      <c r="AE26" s="593">
        <v>-8287.2090000000007</v>
      </c>
      <c r="AF26" s="593">
        <v>-8367.768</v>
      </c>
      <c r="AG26" s="593">
        <v>-8476.6669999999995</v>
      </c>
      <c r="AH26" s="593">
        <v>-8157.4319999999998</v>
      </c>
      <c r="AI26" s="593">
        <v>-8003</v>
      </c>
      <c r="AJ26" s="593">
        <f>AJ19</f>
        <v>-8143</v>
      </c>
      <c r="AK26" s="593">
        <v>-8118</v>
      </c>
      <c r="AL26" s="593">
        <v>-8239</v>
      </c>
      <c r="AM26" s="1283">
        <v>-7823</v>
      </c>
    </row>
    <row r="27" spans="1:82" s="110" customFormat="1">
      <c r="A27" s="1280" t="s">
        <v>857</v>
      </c>
      <c r="B27" s="946" t="s">
        <v>636</v>
      </c>
      <c r="C27" s="946"/>
      <c r="D27" s="1284"/>
      <c r="E27" s="1304">
        <f t="shared" ref="E27:AD27" si="9">E15+E16</f>
        <v>-1652.1089999999999</v>
      </c>
      <c r="F27" s="1304">
        <f t="shared" si="9"/>
        <v>-1732.46</v>
      </c>
      <c r="G27" s="1285">
        <f t="shared" si="9"/>
        <v>-3355.442</v>
      </c>
      <c r="H27" s="1304">
        <f t="shared" si="9"/>
        <v>-2252.739</v>
      </c>
      <c r="I27" s="1304">
        <f t="shared" si="9"/>
        <v>-2346.0630000000001</v>
      </c>
      <c r="J27" s="1304">
        <f t="shared" si="9"/>
        <v>-2703.2170000000001</v>
      </c>
      <c r="K27" s="1285">
        <f t="shared" si="9"/>
        <v>-4359.0590000000002</v>
      </c>
      <c r="L27" s="1285">
        <f t="shared" si="9"/>
        <v>-4604.7489999999998</v>
      </c>
      <c r="M27" s="1285">
        <f t="shared" si="9"/>
        <v>-4607.018</v>
      </c>
      <c r="N27" s="1285">
        <f t="shared" si="9"/>
        <v>-4909.0529999999999</v>
      </c>
      <c r="O27" s="1285">
        <f t="shared" si="9"/>
        <v>-4989.6630000000005</v>
      </c>
      <c r="P27" s="1285">
        <f t="shared" si="9"/>
        <v>-5320.3540000000003</v>
      </c>
      <c r="Q27" s="1285">
        <f t="shared" si="9"/>
        <v>-5324.6229999999996</v>
      </c>
      <c r="R27" s="1285">
        <f t="shared" si="9"/>
        <v>-5825.076</v>
      </c>
      <c r="S27" s="1285">
        <f t="shared" si="9"/>
        <v>-6164.0300000000007</v>
      </c>
      <c r="T27" s="1285">
        <f t="shared" si="9"/>
        <v>-6617.0720000000001</v>
      </c>
      <c r="U27" s="1285">
        <f t="shared" si="9"/>
        <v>-6484.5060000000003</v>
      </c>
      <c r="V27" s="1285">
        <f t="shared" si="9"/>
        <v>-6282.51</v>
      </c>
      <c r="W27" s="1285">
        <f t="shared" si="9"/>
        <v>-6048.8159999999998</v>
      </c>
      <c r="X27" s="1285">
        <f t="shared" si="9"/>
        <v>-6084.0020000000004</v>
      </c>
      <c r="Y27" s="1285">
        <f t="shared" si="9"/>
        <v>-6759.4960000000001</v>
      </c>
      <c r="Z27" s="1285">
        <f t="shared" si="9"/>
        <v>-7023.259</v>
      </c>
      <c r="AA27" s="1285">
        <f t="shared" si="9"/>
        <v>-7374.8940000000002</v>
      </c>
      <c r="AB27" s="1285">
        <f t="shared" si="9"/>
        <v>-7498.7039999999997</v>
      </c>
      <c r="AC27" s="1285">
        <f t="shared" si="9"/>
        <v>-7655.5489999999991</v>
      </c>
      <c r="AD27" s="1285">
        <f t="shared" si="9"/>
        <v>-7839.8969999999999</v>
      </c>
      <c r="AE27" s="1285">
        <v>-7704.5349999999999</v>
      </c>
      <c r="AF27" s="1285">
        <v>-7745.9319999999998</v>
      </c>
      <c r="AG27" s="1285">
        <v>-7889.8549999999996</v>
      </c>
      <c r="AH27" s="1285">
        <v>-7597.942</v>
      </c>
      <c r="AI27" s="1285">
        <v>-7359.5</v>
      </c>
      <c r="AJ27" s="1285">
        <v>-7498</v>
      </c>
      <c r="AK27" s="1285">
        <v>-7425</v>
      </c>
      <c r="AL27" s="1285">
        <v>-7457</v>
      </c>
      <c r="AM27" s="1286">
        <v>-7097</v>
      </c>
      <c r="AN27" s="934"/>
      <c r="AO27" s="934"/>
      <c r="AP27" s="934"/>
      <c r="AQ27" s="934"/>
      <c r="AR27" s="934"/>
      <c r="AS27" s="934"/>
      <c r="AT27" s="934"/>
      <c r="AU27" s="934"/>
      <c r="AV27" s="934"/>
      <c r="AW27" s="934"/>
      <c r="AX27" s="934"/>
      <c r="AY27" s="934"/>
      <c r="AZ27" s="934"/>
      <c r="BA27" s="934"/>
      <c r="BB27" s="934"/>
      <c r="BC27" s="934"/>
      <c r="BD27" s="934"/>
      <c r="BE27" s="934"/>
      <c r="BF27" s="934"/>
      <c r="BG27" s="934"/>
      <c r="BH27" s="934"/>
      <c r="BI27" s="934"/>
      <c r="BJ27" s="934"/>
      <c r="BK27" s="934"/>
      <c r="BL27" s="934"/>
      <c r="BM27" s="934"/>
      <c r="BN27" s="934"/>
      <c r="BO27" s="934"/>
      <c r="BP27" s="934"/>
      <c r="BQ27" s="934"/>
      <c r="BR27" s="934"/>
      <c r="BS27" s="934"/>
      <c r="BT27" s="934"/>
      <c r="BU27" s="934"/>
      <c r="BV27" s="934"/>
      <c r="BW27" s="934"/>
      <c r="BX27" s="934"/>
      <c r="BY27" s="934"/>
      <c r="BZ27" s="934"/>
      <c r="CA27" s="934"/>
      <c r="CB27" s="934"/>
      <c r="CC27" s="934"/>
      <c r="CD27" s="934"/>
    </row>
    <row r="28" spans="1:82" s="110" customFormat="1">
      <c r="A28" s="1280" t="s">
        <v>858</v>
      </c>
      <c r="B28" s="946" t="s">
        <v>637</v>
      </c>
      <c r="C28" s="946"/>
      <c r="D28" s="1284"/>
      <c r="E28" s="1304">
        <f t="shared" ref="E28:AC28" si="10">E26-E27</f>
        <v>-1804.9740000000002</v>
      </c>
      <c r="F28" s="1304">
        <f t="shared" si="10"/>
        <v>-1798.7289999999998</v>
      </c>
      <c r="G28" s="1285">
        <f t="shared" si="10"/>
        <v>-581.68199999999979</v>
      </c>
      <c r="H28" s="1304">
        <f t="shared" si="10"/>
        <v>-2109.3269999999998</v>
      </c>
      <c r="I28" s="1304">
        <f t="shared" si="10"/>
        <v>-2179.1499999999996</v>
      </c>
      <c r="J28" s="1304">
        <f t="shared" si="10"/>
        <v>-2113.087</v>
      </c>
      <c r="K28" s="1285">
        <f t="shared" si="10"/>
        <v>-497.61099999999988</v>
      </c>
      <c r="L28" s="1285">
        <f t="shared" si="10"/>
        <v>-628.46100000000024</v>
      </c>
      <c r="M28" s="1285">
        <f t="shared" si="10"/>
        <v>-683.01900000000023</v>
      </c>
      <c r="N28" s="1285">
        <f t="shared" si="10"/>
        <v>-735.19200000000001</v>
      </c>
      <c r="O28" s="1285">
        <f t="shared" si="10"/>
        <v>-668.57999999999993</v>
      </c>
      <c r="P28" s="1285">
        <f t="shared" si="10"/>
        <v>-648.96399999999994</v>
      </c>
      <c r="Q28" s="1285">
        <f t="shared" si="10"/>
        <v>-692.44200000000001</v>
      </c>
      <c r="R28" s="1285">
        <f t="shared" si="10"/>
        <v>-649.53700000000026</v>
      </c>
      <c r="S28" s="1285">
        <f t="shared" si="10"/>
        <v>-612.23499999999876</v>
      </c>
      <c r="T28" s="1285">
        <f t="shared" si="10"/>
        <v>-580.09100000000035</v>
      </c>
      <c r="U28" s="1285">
        <f t="shared" si="10"/>
        <v>-761.27800000000025</v>
      </c>
      <c r="V28" s="1285">
        <f t="shared" si="10"/>
        <v>-643.66400000000067</v>
      </c>
      <c r="W28" s="1285">
        <f t="shared" si="10"/>
        <v>-601.96399999999994</v>
      </c>
      <c r="X28" s="1285">
        <f t="shared" si="10"/>
        <v>-538.79499999999916</v>
      </c>
      <c r="Y28" s="1285">
        <f t="shared" si="10"/>
        <v>-646.94799999999941</v>
      </c>
      <c r="Z28" s="1285">
        <f t="shared" si="10"/>
        <v>-593.56600000000071</v>
      </c>
      <c r="AA28" s="1285">
        <f t="shared" si="10"/>
        <v>-647.58299999999963</v>
      </c>
      <c r="AB28" s="1285">
        <f t="shared" si="10"/>
        <v>-630.82899999999972</v>
      </c>
      <c r="AC28" s="1285">
        <f t="shared" si="10"/>
        <v>-696.62299999999959</v>
      </c>
      <c r="AD28" s="1285">
        <f>AD26-AD27</f>
        <v>-694.76899999999932</v>
      </c>
      <c r="AE28" s="1285">
        <v>-582.67399999999998</v>
      </c>
      <c r="AF28" s="1285">
        <v>-621.83600000000001</v>
      </c>
      <c r="AG28" s="1285">
        <v>-586.81200000000001</v>
      </c>
      <c r="AH28" s="1285">
        <v>-559.49</v>
      </c>
      <c r="AI28" s="1285">
        <v>-643.20000000000005</v>
      </c>
      <c r="AJ28" s="1285">
        <v>-645</v>
      </c>
      <c r="AK28" s="1285">
        <v>-693</v>
      </c>
      <c r="AL28" s="1285">
        <v>-782</v>
      </c>
      <c r="AM28" s="1286">
        <v>-726</v>
      </c>
      <c r="AN28" s="934"/>
      <c r="AO28" s="934"/>
      <c r="AP28" s="934"/>
      <c r="AQ28" s="934"/>
      <c r="AR28" s="934"/>
      <c r="AS28" s="934"/>
      <c r="AT28" s="934"/>
      <c r="AU28" s="934"/>
      <c r="AV28" s="934"/>
      <c r="AW28" s="934"/>
      <c r="AX28" s="934"/>
      <c r="AY28" s="934"/>
      <c r="AZ28" s="934"/>
      <c r="BA28" s="934"/>
      <c r="BB28" s="934"/>
      <c r="BC28" s="934"/>
      <c r="BD28" s="934"/>
      <c r="BE28" s="934"/>
      <c r="BF28" s="934"/>
      <c r="BG28" s="934"/>
      <c r="BH28" s="934"/>
      <c r="BI28" s="934"/>
      <c r="BJ28" s="934"/>
      <c r="BK28" s="934"/>
      <c r="BL28" s="934"/>
      <c r="BM28" s="934"/>
      <c r="BN28" s="934"/>
      <c r="BO28" s="934"/>
      <c r="BP28" s="934"/>
      <c r="BQ28" s="934"/>
      <c r="BR28" s="934"/>
      <c r="BS28" s="934"/>
      <c r="BT28" s="934"/>
      <c r="BU28" s="934"/>
      <c r="BV28" s="934"/>
      <c r="BW28" s="934"/>
      <c r="BX28" s="934"/>
      <c r="BY28" s="934"/>
      <c r="BZ28" s="934"/>
      <c r="CA28" s="934"/>
      <c r="CB28" s="934"/>
      <c r="CC28" s="934"/>
      <c r="CD28" s="934"/>
    </row>
    <row r="29" spans="1:82" s="115" customFormat="1" ht="15">
      <c r="A29" s="951" t="s">
        <v>118</v>
      </c>
      <c r="B29" s="952" t="s">
        <v>347</v>
      </c>
      <c r="C29" s="952"/>
      <c r="D29" s="953">
        <f t="shared" ref="D29:AM29" si="11">D20</f>
        <v>106540.209</v>
      </c>
      <c r="E29" s="953">
        <f t="shared" si="11"/>
        <v>107798.572</v>
      </c>
      <c r="F29" s="953">
        <f t="shared" si="11"/>
        <v>111817.05499999999</v>
      </c>
      <c r="G29" s="953">
        <f t="shared" si="11"/>
        <v>116572.58500000001</v>
      </c>
      <c r="H29" s="953">
        <f t="shared" si="11"/>
        <v>117892.444</v>
      </c>
      <c r="I29" s="953">
        <f t="shared" si="11"/>
        <v>124665.467</v>
      </c>
      <c r="J29" s="953">
        <f t="shared" si="11"/>
        <v>126715.1</v>
      </c>
      <c r="K29" s="953">
        <f t="shared" si="11"/>
        <v>130668.11900000001</v>
      </c>
      <c r="L29" s="953">
        <f t="shared" si="11"/>
        <v>132419.804</v>
      </c>
      <c r="M29" s="953">
        <f t="shared" si="11"/>
        <v>135680.43900000001</v>
      </c>
      <c r="N29" s="953">
        <f t="shared" si="11"/>
        <v>139695.28099999999</v>
      </c>
      <c r="O29" s="953">
        <f t="shared" si="11"/>
        <v>141634.49400000001</v>
      </c>
      <c r="P29" s="953">
        <f t="shared" si="11"/>
        <v>140563</v>
      </c>
      <c r="Q29" s="953">
        <f t="shared" si="11"/>
        <v>140943</v>
      </c>
      <c r="R29" s="953">
        <f t="shared" si="11"/>
        <v>142315</v>
      </c>
      <c r="S29" s="953">
        <f t="shared" si="11"/>
        <v>143483.06599999999</v>
      </c>
      <c r="T29" s="953">
        <f t="shared" si="11"/>
        <v>147089.10999999999</v>
      </c>
      <c r="U29" s="953">
        <f t="shared" si="11"/>
        <v>148684.44500000001</v>
      </c>
      <c r="V29" s="953">
        <f t="shared" si="11"/>
        <v>149611.33499999999</v>
      </c>
      <c r="W29" s="953">
        <f t="shared" si="11"/>
        <v>149623.26199999999</v>
      </c>
      <c r="X29" s="953">
        <f t="shared" si="11"/>
        <v>149660.86499999999</v>
      </c>
      <c r="Y29" s="953">
        <f t="shared" si="11"/>
        <v>177993.959</v>
      </c>
      <c r="Z29" s="953">
        <f t="shared" si="11"/>
        <v>178333.3</v>
      </c>
      <c r="AA29" s="953">
        <f t="shared" si="11"/>
        <v>179497.38399999999</v>
      </c>
      <c r="AB29" s="953">
        <f t="shared" si="11"/>
        <v>182440.40599999999</v>
      </c>
      <c r="AC29" s="953">
        <f t="shared" si="11"/>
        <v>185336.08900000001</v>
      </c>
      <c r="AD29" s="953">
        <f t="shared" si="11"/>
        <v>185193.11499999999</v>
      </c>
      <c r="AE29" s="953">
        <f t="shared" si="11"/>
        <v>190413.70800000001</v>
      </c>
      <c r="AF29" s="953">
        <f t="shared" si="11"/>
        <v>187869.10699999999</v>
      </c>
      <c r="AG29" s="953">
        <f t="shared" si="11"/>
        <v>191515.372</v>
      </c>
      <c r="AH29" s="953">
        <f t="shared" si="11"/>
        <v>193174.34299999999</v>
      </c>
      <c r="AI29" s="953">
        <f t="shared" si="11"/>
        <v>200606.5</v>
      </c>
      <c r="AJ29" s="953">
        <f t="shared" si="11"/>
        <v>200579</v>
      </c>
      <c r="AK29" s="953">
        <f t="shared" si="11"/>
        <v>204620</v>
      </c>
      <c r="AL29" s="953">
        <f t="shared" si="11"/>
        <v>205809</v>
      </c>
      <c r="AM29" s="954">
        <f t="shared" si="11"/>
        <v>205629</v>
      </c>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row>
    <row r="30" spans="1:82">
      <c r="A30" s="957"/>
      <c r="B30" s="958"/>
      <c r="C30" s="958"/>
      <c r="D30" s="966"/>
      <c r="E30" s="966"/>
      <c r="F30" s="966"/>
      <c r="G30" s="966"/>
      <c r="H30" s="966"/>
      <c r="I30" s="966"/>
      <c r="J30" s="966"/>
      <c r="K30" s="966"/>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c r="AL30" s="966"/>
      <c r="AM30" s="967"/>
    </row>
    <row r="31" spans="1:82">
      <c r="A31" s="957"/>
      <c r="B31" s="958"/>
      <c r="C31" s="958"/>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7"/>
    </row>
    <row r="32" spans="1:82" s="994" customFormat="1">
      <c r="A32" s="988" t="s">
        <v>578</v>
      </c>
      <c r="B32" s="921" t="s">
        <v>659</v>
      </c>
      <c r="C32" s="921"/>
      <c r="D32" s="989"/>
      <c r="E32" s="990"/>
      <c r="F32" s="990"/>
      <c r="G32" s="991">
        <f t="shared" ref="G32:AM32" si="12">G23/G25</f>
        <v>7.5580217358254501E-2</v>
      </c>
      <c r="H32" s="990"/>
      <c r="I32" s="990"/>
      <c r="J32" s="990"/>
      <c r="K32" s="991">
        <f t="shared" si="12"/>
        <v>8.0333451026439157E-2</v>
      </c>
      <c r="L32" s="991">
        <f t="shared" si="12"/>
        <v>7.4923502946328518E-2</v>
      </c>
      <c r="M32" s="991">
        <f t="shared" si="12"/>
        <v>7.6348092915569085E-2</v>
      </c>
      <c r="N32" s="991">
        <f t="shared" si="12"/>
        <v>8.0589033983776717E-2</v>
      </c>
      <c r="O32" s="991">
        <f t="shared" si="12"/>
        <v>8.0093779505231139E-2</v>
      </c>
      <c r="P32" s="1305">
        <f>P23/P25</f>
        <v>8.2457717904796543E-2</v>
      </c>
      <c r="Q32" s="1305">
        <f t="shared" si="12"/>
        <v>8.438557480264168E-2</v>
      </c>
      <c r="R32" s="1305">
        <f t="shared" si="12"/>
        <v>8.6136325296710725E-2</v>
      </c>
      <c r="S32" s="1305">
        <f t="shared" si="12"/>
        <v>8.9292091950016722E-2</v>
      </c>
      <c r="T32" s="991">
        <f t="shared" si="12"/>
        <v>9.2103384984871611E-2</v>
      </c>
      <c r="U32" s="991">
        <f t="shared" si="12"/>
        <v>9.0677157922983628E-2</v>
      </c>
      <c r="V32" s="991">
        <f t="shared" si="12"/>
        <v>8.6048539331234672E-2</v>
      </c>
      <c r="W32" s="991">
        <f t="shared" si="12"/>
        <v>8.2299989399391107E-2</v>
      </c>
      <c r="X32" s="991">
        <f t="shared" si="12"/>
        <v>8.0764059649434103E-2</v>
      </c>
      <c r="Y32" s="991">
        <f t="shared" si="12"/>
        <v>7.1705345753752231E-2</v>
      </c>
      <c r="Z32" s="991">
        <f t="shared" si="12"/>
        <v>7.0507185730582331E-2</v>
      </c>
      <c r="AA32" s="991">
        <f t="shared" si="12"/>
        <v>6.9204989438425402E-2</v>
      </c>
      <c r="AB32" s="991">
        <f t="shared" si="12"/>
        <v>6.7915853192354755E-2</v>
      </c>
      <c r="AC32" s="991">
        <f t="shared" si="12"/>
        <v>6.8538361238113452E-2</v>
      </c>
      <c r="AD32" s="991">
        <f t="shared" si="12"/>
        <v>6.9366267092069778E-2</v>
      </c>
      <c r="AE32" s="991">
        <f t="shared" si="12"/>
        <v>6.5932810969362571E-2</v>
      </c>
      <c r="AF32" s="991">
        <f t="shared" si="12"/>
        <v>6.6009821038986685E-2</v>
      </c>
      <c r="AG32" s="991">
        <f t="shared" si="12"/>
        <v>6.5231306532156516E-2</v>
      </c>
      <c r="AH32" s="991">
        <f t="shared" si="12"/>
        <v>6.2068528427765564E-2</v>
      </c>
      <c r="AI32" s="991">
        <f t="shared" si="12"/>
        <v>5.8578912147690509E-2</v>
      </c>
      <c r="AJ32" s="991">
        <f t="shared" si="12"/>
        <v>5.868092486656893E-2</v>
      </c>
      <c r="AK32" s="991">
        <f t="shared" si="12"/>
        <v>5.6891575553027665E-2</v>
      </c>
      <c r="AL32" s="991">
        <f t="shared" si="12"/>
        <v>5.6118253849603825E-2</v>
      </c>
      <c r="AM32" s="992">
        <f t="shared" si="12"/>
        <v>5.4710192455446657E-2</v>
      </c>
      <c r="AN32" s="993"/>
      <c r="AO32" s="993"/>
      <c r="AP32" s="993"/>
      <c r="AQ32" s="993"/>
      <c r="AR32" s="993"/>
      <c r="AS32" s="993"/>
      <c r="AT32" s="993"/>
      <c r="AU32" s="993"/>
      <c r="AV32" s="993"/>
      <c r="AW32" s="993"/>
      <c r="AX32" s="993"/>
      <c r="AY32" s="993"/>
      <c r="AZ32" s="993"/>
      <c r="BA32" s="993"/>
      <c r="BB32" s="993"/>
      <c r="BC32" s="993"/>
      <c r="BD32" s="993"/>
      <c r="BE32" s="993"/>
      <c r="BF32" s="993"/>
      <c r="BG32" s="993"/>
      <c r="BH32" s="993"/>
      <c r="BI32" s="993"/>
      <c r="BJ32" s="993"/>
      <c r="BK32" s="993"/>
      <c r="BL32" s="993"/>
      <c r="BM32" s="993"/>
      <c r="BN32" s="993"/>
      <c r="BO32" s="993"/>
      <c r="BP32" s="993"/>
      <c r="BQ32" s="993"/>
      <c r="BR32" s="993"/>
      <c r="BS32" s="993"/>
      <c r="BT32" s="993"/>
      <c r="BU32" s="993"/>
      <c r="BV32" s="993"/>
      <c r="BW32" s="993"/>
      <c r="BX32" s="993"/>
      <c r="BY32" s="993"/>
      <c r="BZ32" s="993"/>
      <c r="CA32" s="993"/>
      <c r="CB32" s="993"/>
      <c r="CC32" s="993"/>
      <c r="CD32" s="993"/>
    </row>
    <row r="33" spans="1:82" s="994" customFormat="1">
      <c r="A33" s="988" t="s">
        <v>579</v>
      </c>
      <c r="B33" s="923" t="s">
        <v>658</v>
      </c>
      <c r="C33" s="923"/>
      <c r="D33" s="990"/>
      <c r="E33" s="990"/>
      <c r="F33" s="990"/>
      <c r="G33" s="991">
        <f t="shared" ref="G33:AI33" si="13">-G26/G23</f>
        <v>0.43226385160543029</v>
      </c>
      <c r="H33" s="990"/>
      <c r="I33" s="990"/>
      <c r="J33" s="990"/>
      <c r="K33" s="991">
        <f t="shared" si="13"/>
        <v>0.44609096906139284</v>
      </c>
      <c r="L33" s="991">
        <f t="shared" si="13"/>
        <v>0.50741624089562309</v>
      </c>
      <c r="M33" s="991">
        <f t="shared" si="13"/>
        <v>0.49150999082304303</v>
      </c>
      <c r="N33" s="991">
        <f t="shared" si="13"/>
        <v>0.48188806202323409</v>
      </c>
      <c r="O33" s="991">
        <f t="shared" si="13"/>
        <v>0.47962462720068577</v>
      </c>
      <c r="P33" s="1305">
        <f t="shared" si="13"/>
        <v>0.49403645594528667</v>
      </c>
      <c r="Q33" s="1305">
        <f t="shared" si="13"/>
        <v>0.48519454946217522</v>
      </c>
      <c r="R33" s="1305">
        <f t="shared" si="13"/>
        <v>0.50518983867134393</v>
      </c>
      <c r="S33" s="1305">
        <f t="shared" si="13"/>
        <v>0.50505181125097542</v>
      </c>
      <c r="T33" s="991">
        <f t="shared" si="13"/>
        <v>0.506475519707975</v>
      </c>
      <c r="U33" s="991">
        <f t="shared" si="13"/>
        <v>0.51245668989505144</v>
      </c>
      <c r="V33" s="991">
        <f t="shared" si="13"/>
        <v>0.51419929466042025</v>
      </c>
      <c r="W33" s="991">
        <f t="shared" si="13"/>
        <v>0.51711359738851714</v>
      </c>
      <c r="X33" s="991">
        <f t="shared" si="13"/>
        <v>0.5246983802936801</v>
      </c>
      <c r="Y33" s="991">
        <f t="shared" si="13"/>
        <v>0.55711844262911636</v>
      </c>
      <c r="Z33" s="991">
        <f t="shared" si="13"/>
        <v>0.58095717887973453</v>
      </c>
      <c r="AA33" s="991">
        <f t="shared" si="13"/>
        <v>0.61819259923666769</v>
      </c>
      <c r="AB33" s="991">
        <f t="shared" si="13"/>
        <v>0.62811626922316166</v>
      </c>
      <c r="AC33" s="991">
        <f t="shared" si="13"/>
        <v>0.62916189707689796</v>
      </c>
      <c r="AD33" s="991">
        <f t="shared" si="13"/>
        <v>0.63510612640572495</v>
      </c>
      <c r="AE33" s="991">
        <f t="shared" si="13"/>
        <v>0.63256743233866963</v>
      </c>
      <c r="AF33" s="991">
        <f t="shared" si="13"/>
        <v>0.64598205852429302</v>
      </c>
      <c r="AG33" s="991">
        <f t="shared" si="13"/>
        <v>0.64976503444572176</v>
      </c>
      <c r="AH33" s="991">
        <f t="shared" si="13"/>
        <v>0.6527842852246577</v>
      </c>
      <c r="AI33" s="991">
        <f t="shared" si="13"/>
        <v>0.65490462434840957</v>
      </c>
      <c r="AJ33" s="991">
        <f>-AJ26/AJ23</f>
        <v>0.66484323971260617</v>
      </c>
      <c r="AK33" s="991">
        <f t="shared" ref="AK33:AM33" si="14">-AK26/AK23</f>
        <v>0.67074279104354295</v>
      </c>
      <c r="AL33" s="991">
        <f t="shared" si="14"/>
        <v>0.6858974358974359</v>
      </c>
      <c r="AM33" s="992">
        <f t="shared" si="14"/>
        <v>0.66989210481246786</v>
      </c>
      <c r="AN33" s="993"/>
      <c r="AO33" s="993"/>
      <c r="AP33" s="993"/>
      <c r="AQ33" s="993"/>
      <c r="AR33" s="993"/>
      <c r="AS33" s="993"/>
      <c r="AT33" s="993"/>
      <c r="AU33" s="993"/>
      <c r="AV33" s="993"/>
      <c r="AW33" s="993"/>
      <c r="AX33" s="993"/>
      <c r="AY33" s="993"/>
      <c r="AZ33" s="993"/>
      <c r="BA33" s="993"/>
      <c r="BB33" s="993"/>
      <c r="BC33" s="993"/>
      <c r="BD33" s="993"/>
      <c r="BE33" s="993"/>
      <c r="BF33" s="993"/>
      <c r="BG33" s="993"/>
      <c r="BH33" s="993"/>
      <c r="BI33" s="993"/>
      <c r="BJ33" s="993"/>
      <c r="BK33" s="993"/>
      <c r="BL33" s="993"/>
      <c r="BM33" s="993"/>
      <c r="BN33" s="993"/>
      <c r="BO33" s="993"/>
      <c r="BP33" s="993"/>
      <c r="BQ33" s="993"/>
      <c r="BR33" s="993"/>
      <c r="BS33" s="993"/>
      <c r="BT33" s="993"/>
      <c r="BU33" s="993"/>
      <c r="BV33" s="993"/>
      <c r="BW33" s="993"/>
      <c r="BX33" s="993"/>
      <c r="BY33" s="993"/>
      <c r="BZ33" s="993"/>
      <c r="CA33" s="993"/>
      <c r="CB33" s="993"/>
      <c r="CC33" s="993"/>
      <c r="CD33" s="993"/>
    </row>
    <row r="34" spans="1:82" s="122" customFormat="1" ht="36">
      <c r="A34" s="968" t="s">
        <v>580</v>
      </c>
      <c r="B34" s="969" t="s">
        <v>736</v>
      </c>
      <c r="C34" s="969"/>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1"/>
      <c r="AN34" s="937"/>
      <c r="AO34" s="937"/>
      <c r="AP34" s="937"/>
      <c r="AQ34" s="937"/>
      <c r="AR34" s="937"/>
      <c r="AS34" s="937"/>
      <c r="AT34" s="937"/>
      <c r="AU34" s="937"/>
      <c r="AV34" s="937"/>
      <c r="AW34" s="937"/>
      <c r="AX34" s="937"/>
      <c r="AY34" s="937"/>
      <c r="AZ34" s="937"/>
      <c r="BA34" s="937"/>
      <c r="BB34" s="937"/>
      <c r="BC34" s="937"/>
      <c r="BD34" s="937"/>
      <c r="BE34" s="937"/>
      <c r="BF34" s="937"/>
      <c r="BG34" s="937"/>
      <c r="BH34" s="937"/>
      <c r="BI34" s="937"/>
      <c r="BJ34" s="937"/>
      <c r="BK34" s="937"/>
      <c r="BL34" s="937"/>
      <c r="BM34" s="937"/>
      <c r="BN34" s="937"/>
      <c r="BO34" s="937"/>
      <c r="BP34" s="937"/>
      <c r="BQ34" s="937"/>
      <c r="BR34" s="937"/>
      <c r="BS34" s="937"/>
      <c r="BT34" s="937"/>
      <c r="BU34" s="937"/>
      <c r="BV34" s="937"/>
      <c r="BW34" s="937"/>
      <c r="BX34" s="937"/>
      <c r="BY34" s="937"/>
      <c r="BZ34" s="937"/>
      <c r="CA34" s="937"/>
      <c r="CB34" s="937"/>
      <c r="CC34" s="937"/>
      <c r="CD34" s="937"/>
    </row>
    <row r="35" spans="1:82" ht="14.25" thickBot="1">
      <c r="A35" s="975"/>
      <c r="B35" s="976"/>
      <c r="C35" s="976"/>
      <c r="D35" s="976"/>
      <c r="E35" s="976"/>
      <c r="F35" s="976"/>
      <c r="G35" s="976"/>
      <c r="H35" s="976"/>
      <c r="I35" s="976"/>
      <c r="J35" s="976"/>
      <c r="K35" s="976"/>
      <c r="L35" s="976"/>
      <c r="M35" s="976"/>
      <c r="N35" s="976"/>
      <c r="O35" s="976"/>
      <c r="P35" s="977"/>
      <c r="Q35" s="977"/>
      <c r="R35" s="977"/>
      <c r="S35" s="976"/>
      <c r="T35" s="976"/>
      <c r="U35" s="976"/>
      <c r="V35" s="976"/>
      <c r="W35" s="976"/>
      <c r="X35" s="976"/>
      <c r="Y35" s="976"/>
      <c r="Z35" s="976"/>
      <c r="AA35" s="976"/>
      <c r="AB35" s="976"/>
      <c r="AC35" s="976"/>
      <c r="AD35" s="976"/>
      <c r="AE35" s="976"/>
      <c r="AF35" s="976"/>
      <c r="AG35" s="976"/>
      <c r="AH35" s="976"/>
      <c r="AI35" s="976"/>
      <c r="AJ35" s="976"/>
      <c r="AK35" s="976"/>
      <c r="AL35" s="976"/>
      <c r="AM35" s="978"/>
    </row>
    <row r="36" spans="1:82" s="1313" customFormat="1" ht="18" customHeight="1" thickBot="1">
      <c r="A36" s="343" t="s">
        <v>365</v>
      </c>
      <c r="B36" s="619" t="s">
        <v>182</v>
      </c>
      <c r="C36" s="619"/>
      <c r="D36" s="794" t="s">
        <v>304</v>
      </c>
      <c r="E36" s="794" t="s">
        <v>303</v>
      </c>
      <c r="F36" s="794" t="s">
        <v>302</v>
      </c>
      <c r="G36" s="794" t="s">
        <v>301</v>
      </c>
      <c r="H36" s="794" t="s">
        <v>297</v>
      </c>
      <c r="I36" s="794" t="s">
        <v>298</v>
      </c>
      <c r="J36" s="794" t="s">
        <v>299</v>
      </c>
      <c r="K36" s="794" t="s">
        <v>300</v>
      </c>
      <c r="L36" s="794" t="s">
        <v>296</v>
      </c>
      <c r="M36" s="794" t="s">
        <v>295</v>
      </c>
      <c r="N36" s="794" t="s">
        <v>294</v>
      </c>
      <c r="O36" s="794" t="s">
        <v>293</v>
      </c>
      <c r="P36" s="794" t="s">
        <v>292</v>
      </c>
      <c r="Q36" s="794" t="s">
        <v>291</v>
      </c>
      <c r="R36" s="794" t="s">
        <v>290</v>
      </c>
      <c r="S36" s="794" t="s">
        <v>289</v>
      </c>
      <c r="T36" s="794" t="s">
        <v>288</v>
      </c>
      <c r="U36" s="794" t="s">
        <v>287</v>
      </c>
      <c r="V36" s="794" t="s">
        <v>286</v>
      </c>
      <c r="W36" s="794" t="s">
        <v>285</v>
      </c>
      <c r="X36" s="794" t="s">
        <v>281</v>
      </c>
      <c r="Y36" s="794" t="s">
        <v>282</v>
      </c>
      <c r="Z36" s="794" t="s">
        <v>283</v>
      </c>
      <c r="AA36" s="794" t="s">
        <v>284</v>
      </c>
      <c r="AB36" s="794" t="s">
        <v>277</v>
      </c>
      <c r="AC36" s="794" t="s">
        <v>278</v>
      </c>
      <c r="AD36" s="794" t="s">
        <v>279</v>
      </c>
      <c r="AE36" s="794" t="s">
        <v>280</v>
      </c>
      <c r="AF36" s="794" t="s">
        <v>274</v>
      </c>
      <c r="AG36" s="794" t="s">
        <v>275</v>
      </c>
      <c r="AH36" s="794" t="s">
        <v>276</v>
      </c>
      <c r="AI36" s="794" t="s">
        <v>256</v>
      </c>
      <c r="AJ36" s="794" t="s">
        <v>273</v>
      </c>
      <c r="AK36" s="794" t="s">
        <v>272</v>
      </c>
      <c r="AL36" s="794" t="s">
        <v>255</v>
      </c>
      <c r="AM36" s="795" t="s">
        <v>271</v>
      </c>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row>
    <row r="37" spans="1:82" s="1313" customFormat="1" ht="18" customHeight="1">
      <c r="A37" s="979" t="s">
        <v>49</v>
      </c>
      <c r="B37" s="980" t="s">
        <v>151</v>
      </c>
      <c r="C37" s="980"/>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4"/>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row>
    <row r="38" spans="1:82" s="1318" customFormat="1">
      <c r="A38" s="1314" t="s">
        <v>575</v>
      </c>
      <c r="B38" s="1312" t="s">
        <v>627</v>
      </c>
      <c r="C38" s="1312"/>
      <c r="D38" s="1315">
        <v>48766.428</v>
      </c>
      <c r="E38" s="1315">
        <v>48849.697</v>
      </c>
      <c r="F38" s="1315">
        <v>50266.455000000002</v>
      </c>
      <c r="G38" s="1315">
        <v>52471.695</v>
      </c>
      <c r="H38" s="1315">
        <v>53334.974000000002</v>
      </c>
      <c r="I38" s="1315">
        <v>57992.902000000002</v>
      </c>
      <c r="J38" s="1315">
        <v>59290.925999999999</v>
      </c>
      <c r="K38" s="1315">
        <v>62441.248</v>
      </c>
      <c r="L38" s="1315">
        <v>62897.883000000002</v>
      </c>
      <c r="M38" s="1315">
        <v>65943.608999999997</v>
      </c>
      <c r="N38" s="1315">
        <v>69709.868000000002</v>
      </c>
      <c r="O38" s="1315">
        <v>70808.365000000005</v>
      </c>
      <c r="P38" s="1315">
        <v>69533.421999999991</v>
      </c>
      <c r="Q38" s="1315">
        <v>70659.005000000005</v>
      </c>
      <c r="R38" s="1315">
        <v>71022.091</v>
      </c>
      <c r="S38" s="1315">
        <v>72133.796000000002</v>
      </c>
      <c r="T38" s="1315">
        <v>73235.971000000005</v>
      </c>
      <c r="U38" s="1315">
        <f>74933.136+4.926</f>
        <v>74938.062000000005</v>
      </c>
      <c r="V38" s="1315">
        <f>75736.246+4.202</f>
        <v>75740.448000000004</v>
      </c>
      <c r="W38" s="1315">
        <v>76631.478000000003</v>
      </c>
      <c r="X38" s="1315">
        <v>77904.195000000007</v>
      </c>
      <c r="Y38" s="1315">
        <f>97470.9+1.628</f>
        <v>97472.527999999991</v>
      </c>
      <c r="Z38" s="1315">
        <v>99098.963000000003</v>
      </c>
      <c r="AA38" s="1315">
        <v>98105.676000000007</v>
      </c>
      <c r="AB38" s="1315">
        <v>100971.40399999999</v>
      </c>
      <c r="AC38" s="1315">
        <v>102592.447</v>
      </c>
      <c r="AD38" s="1315">
        <v>101858.55899999999</v>
      </c>
      <c r="AE38" s="1315">
        <v>103005.81200000001</v>
      </c>
      <c r="AF38" s="1315">
        <v>102984.693</v>
      </c>
      <c r="AG38" s="1315">
        <v>105734.433</v>
      </c>
      <c r="AH38" s="1315">
        <v>106058.51300000001</v>
      </c>
      <c r="AI38" s="1315">
        <v>108321</v>
      </c>
      <c r="AJ38" s="1315">
        <v>107641</v>
      </c>
      <c r="AK38" s="1315">
        <v>108045</v>
      </c>
      <c r="AL38" s="1315">
        <v>108730</v>
      </c>
      <c r="AM38" s="1316">
        <v>108163</v>
      </c>
      <c r="AN38" s="1317"/>
      <c r="AO38" s="1317"/>
      <c r="AP38" s="1317"/>
      <c r="AQ38" s="1317"/>
      <c r="AR38" s="1317"/>
      <c r="AS38" s="1317"/>
      <c r="AT38" s="1317"/>
      <c r="AU38" s="1317"/>
      <c r="AV38" s="1317"/>
      <c r="AW38" s="1317"/>
      <c r="AX38" s="1317"/>
      <c r="AY38" s="1317"/>
      <c r="AZ38" s="1317"/>
      <c r="BA38" s="1317"/>
      <c r="BB38" s="1317"/>
      <c r="BC38" s="1317"/>
      <c r="BD38" s="1317"/>
      <c r="BE38" s="1317"/>
      <c r="BF38" s="1317"/>
      <c r="BG38" s="1317"/>
      <c r="BH38" s="1317"/>
      <c r="BI38" s="1317"/>
      <c r="BJ38" s="1317"/>
      <c r="BK38" s="1317"/>
      <c r="BL38" s="1317"/>
      <c r="BM38" s="1317"/>
      <c r="BN38" s="1317"/>
      <c r="BO38" s="1317"/>
      <c r="BP38" s="1317"/>
      <c r="BQ38" s="1317"/>
      <c r="BR38" s="1317"/>
      <c r="BS38" s="1317"/>
      <c r="BT38" s="1317"/>
      <c r="BU38" s="1317"/>
      <c r="BV38" s="1317"/>
      <c r="BW38" s="1317"/>
      <c r="BX38" s="1317"/>
      <c r="BY38" s="1317"/>
      <c r="BZ38" s="1317"/>
      <c r="CA38" s="1317"/>
      <c r="CB38" s="1317"/>
      <c r="CC38" s="1317"/>
      <c r="CD38" s="1317"/>
    </row>
    <row r="39" spans="1:82" s="1322" customFormat="1">
      <c r="A39" s="583" t="s">
        <v>571</v>
      </c>
      <c r="B39" s="584" t="s">
        <v>626</v>
      </c>
      <c r="C39" s="584"/>
      <c r="D39" s="1319"/>
      <c r="E39" s="1319"/>
      <c r="F39" s="1319"/>
      <c r="G39" s="595">
        <v>-734.76</v>
      </c>
      <c r="H39" s="1319"/>
      <c r="I39" s="1319"/>
      <c r="J39" s="1319"/>
      <c r="K39" s="595">
        <v>-983.31100000000004</v>
      </c>
      <c r="L39" s="1319"/>
      <c r="M39" s="1319"/>
      <c r="N39" s="1319"/>
      <c r="O39" s="595">
        <v>-1323.83</v>
      </c>
      <c r="P39" s="595"/>
      <c r="Q39" s="595">
        <v>-1500.3889999999999</v>
      </c>
      <c r="R39" s="595">
        <v>-1570.664</v>
      </c>
      <c r="S39" s="595">
        <v>-1714.6980000000001</v>
      </c>
      <c r="T39" s="595">
        <v>-1784.143</v>
      </c>
      <c r="U39" s="595">
        <v>-1798.7719999999999</v>
      </c>
      <c r="V39" s="595">
        <v>-1756.644</v>
      </c>
      <c r="W39" s="595">
        <v>-1731.258</v>
      </c>
      <c r="X39" s="595">
        <v>-1763.395</v>
      </c>
      <c r="Y39" s="595">
        <v>-2079.6350000000002</v>
      </c>
      <c r="Z39" s="595">
        <v>-2173.1869999999999</v>
      </c>
      <c r="AA39" s="595">
        <v>-2307.712</v>
      </c>
      <c r="AB39" s="595">
        <v>-2316.5790000000002</v>
      </c>
      <c r="AC39" s="595">
        <v>-2461.5239999999999</v>
      </c>
      <c r="AD39" s="595">
        <v>-2439.9690000000001</v>
      </c>
      <c r="AE39" s="595">
        <v>-2337.1999999999998</v>
      </c>
      <c r="AF39" s="595">
        <v>-2329.2469999999998</v>
      </c>
      <c r="AG39" s="595">
        <v>-2299.8710000000001</v>
      </c>
      <c r="AH39" s="595">
        <v>-2226.7089999999998</v>
      </c>
      <c r="AI39" s="595">
        <v>-2200</v>
      </c>
      <c r="AJ39" s="595">
        <v>-2179</v>
      </c>
      <c r="AK39" s="595">
        <v>-2105</v>
      </c>
      <c r="AL39" s="595">
        <v>-2109</v>
      </c>
      <c r="AM39" s="1320">
        <v>-1972</v>
      </c>
      <c r="AN39" s="1321"/>
      <c r="AO39" s="1321"/>
      <c r="AP39" s="1321"/>
      <c r="AQ39" s="1321"/>
      <c r="AR39" s="1321"/>
      <c r="AS39" s="1321"/>
      <c r="AT39" s="1321"/>
      <c r="AU39" s="1321"/>
      <c r="AV39" s="1321"/>
      <c r="AW39" s="1321"/>
      <c r="AX39" s="1321"/>
      <c r="AY39" s="1321"/>
      <c r="AZ39" s="1321"/>
      <c r="BA39" s="1321"/>
      <c r="BB39" s="1321"/>
      <c r="BC39" s="1321"/>
      <c r="BD39" s="1321"/>
      <c r="BE39" s="1321"/>
      <c r="BF39" s="1321"/>
      <c r="BG39" s="1321"/>
      <c r="BH39" s="1321"/>
      <c r="BI39" s="1321"/>
      <c r="BJ39" s="1321"/>
      <c r="BK39" s="1321"/>
      <c r="BL39" s="1321"/>
      <c r="BM39" s="1321"/>
      <c r="BN39" s="1321"/>
      <c r="BO39" s="1321"/>
      <c r="BP39" s="1321"/>
      <c r="BQ39" s="1321"/>
      <c r="BR39" s="1321"/>
      <c r="BS39" s="1321"/>
      <c r="BT39" s="1321"/>
      <c r="BU39" s="1321"/>
      <c r="BV39" s="1321"/>
      <c r="BW39" s="1321"/>
      <c r="BX39" s="1321"/>
      <c r="BY39" s="1321"/>
      <c r="BZ39" s="1321"/>
      <c r="CA39" s="1321"/>
      <c r="CB39" s="1321"/>
      <c r="CC39" s="1321"/>
      <c r="CD39" s="1321"/>
    </row>
    <row r="40" spans="1:82" s="1322" customFormat="1">
      <c r="A40" s="583" t="s">
        <v>570</v>
      </c>
      <c r="B40" s="584" t="s">
        <v>628</v>
      </c>
      <c r="C40" s="584"/>
      <c r="D40" s="1319"/>
      <c r="E40" s="1319"/>
      <c r="F40" s="1319"/>
      <c r="G40" s="595">
        <f t="shared" ref="G40:AA40" si="15">G38+G39</f>
        <v>51736.934999999998</v>
      </c>
      <c r="H40" s="1319"/>
      <c r="I40" s="1319"/>
      <c r="J40" s="1319"/>
      <c r="K40" s="595">
        <f t="shared" si="15"/>
        <v>61457.936999999998</v>
      </c>
      <c r="L40" s="1319"/>
      <c r="M40" s="1319"/>
      <c r="N40" s="1319"/>
      <c r="O40" s="595">
        <f t="shared" si="15"/>
        <v>69484.535000000003</v>
      </c>
      <c r="P40" s="595">
        <f t="shared" si="15"/>
        <v>69533.421999999991</v>
      </c>
      <c r="Q40" s="595">
        <f t="shared" si="15"/>
        <v>69158.616000000009</v>
      </c>
      <c r="R40" s="595">
        <f t="shared" si="15"/>
        <v>69451.426999999996</v>
      </c>
      <c r="S40" s="595">
        <f t="shared" si="15"/>
        <v>70419.097999999998</v>
      </c>
      <c r="T40" s="595">
        <f t="shared" si="15"/>
        <v>71451.828000000009</v>
      </c>
      <c r="U40" s="595">
        <f t="shared" si="15"/>
        <v>73139.290000000008</v>
      </c>
      <c r="V40" s="595">
        <f t="shared" si="15"/>
        <v>73983.804000000004</v>
      </c>
      <c r="W40" s="595">
        <f t="shared" si="15"/>
        <v>74900.22</v>
      </c>
      <c r="X40" s="595">
        <f t="shared" si="15"/>
        <v>76140.800000000003</v>
      </c>
      <c r="Y40" s="595">
        <f t="shared" si="15"/>
        <v>95392.892999999996</v>
      </c>
      <c r="Z40" s="595">
        <f t="shared" si="15"/>
        <v>96925.775999999998</v>
      </c>
      <c r="AA40" s="595">
        <f t="shared" si="15"/>
        <v>95797.964000000007</v>
      </c>
      <c r="AB40" s="595">
        <f>AB38+AB39</f>
        <v>98654.824999999997</v>
      </c>
      <c r="AC40" s="595">
        <f t="shared" ref="AC40:AM40" si="16">AC38+AC39</f>
        <v>100130.923</v>
      </c>
      <c r="AD40" s="595">
        <f t="shared" si="16"/>
        <v>99418.59</v>
      </c>
      <c r="AE40" s="595">
        <f t="shared" si="16"/>
        <v>100668.61200000001</v>
      </c>
      <c r="AF40" s="595">
        <f t="shared" si="16"/>
        <v>100655.446</v>
      </c>
      <c r="AG40" s="595">
        <f t="shared" si="16"/>
        <v>103434.56200000001</v>
      </c>
      <c r="AH40" s="595">
        <f t="shared" si="16"/>
        <v>103831.804</v>
      </c>
      <c r="AI40" s="595">
        <f t="shared" si="16"/>
        <v>106121</v>
      </c>
      <c r="AJ40" s="595">
        <f t="shared" si="16"/>
        <v>105462</v>
      </c>
      <c r="AK40" s="595">
        <f t="shared" si="16"/>
        <v>105940</v>
      </c>
      <c r="AL40" s="595">
        <f t="shared" si="16"/>
        <v>106621</v>
      </c>
      <c r="AM40" s="1320">
        <f t="shared" si="16"/>
        <v>106191</v>
      </c>
      <c r="AN40" s="1321"/>
      <c r="AO40" s="1321"/>
      <c r="AP40" s="1321"/>
      <c r="AQ40" s="1321"/>
      <c r="AR40" s="1321"/>
      <c r="AS40" s="1321"/>
      <c r="AT40" s="1321"/>
      <c r="AU40" s="1321"/>
      <c r="AV40" s="1321"/>
      <c r="AW40" s="1321"/>
      <c r="AX40" s="1321"/>
      <c r="AY40" s="1321"/>
      <c r="AZ40" s="1321"/>
      <c r="BA40" s="1321"/>
      <c r="BB40" s="1321"/>
      <c r="BC40" s="1321"/>
      <c r="BD40" s="1321"/>
      <c r="BE40" s="1321"/>
      <c r="BF40" s="1321"/>
      <c r="BG40" s="1321"/>
      <c r="BH40" s="1321"/>
      <c r="BI40" s="1321"/>
      <c r="BJ40" s="1321"/>
      <c r="BK40" s="1321"/>
      <c r="BL40" s="1321"/>
      <c r="BM40" s="1321"/>
      <c r="BN40" s="1321"/>
      <c r="BO40" s="1321"/>
      <c r="BP40" s="1321"/>
      <c r="BQ40" s="1321"/>
      <c r="BR40" s="1321"/>
      <c r="BS40" s="1321"/>
      <c r="BT40" s="1321"/>
      <c r="BU40" s="1321"/>
      <c r="BV40" s="1321"/>
      <c r="BW40" s="1321"/>
      <c r="BX40" s="1321"/>
      <c r="BY40" s="1321"/>
      <c r="BZ40" s="1321"/>
      <c r="CA40" s="1321"/>
      <c r="CB40" s="1321"/>
      <c r="CC40" s="1321"/>
      <c r="CD40" s="1321"/>
    </row>
    <row r="41" spans="1:82" s="1318" customFormat="1" ht="27">
      <c r="A41" s="1314" t="s">
        <v>607</v>
      </c>
      <c r="B41" s="1312" t="s">
        <v>878</v>
      </c>
      <c r="C41" s="1312"/>
      <c r="D41" s="1315">
        <v>39431.321000000004</v>
      </c>
      <c r="E41" s="1315">
        <v>40057.548000000003</v>
      </c>
      <c r="F41" s="1315">
        <v>41631.618999999999</v>
      </c>
      <c r="G41" s="1315">
        <v>43990.773000000001</v>
      </c>
      <c r="H41" s="1315">
        <v>44161.127999999997</v>
      </c>
      <c r="I41" s="1315">
        <v>45811.677000000003</v>
      </c>
      <c r="J41" s="1315">
        <v>46052.813999999998</v>
      </c>
      <c r="K41" s="1315">
        <v>46912.413</v>
      </c>
      <c r="L41" s="1315">
        <v>48761.447</v>
      </c>
      <c r="M41" s="1315">
        <v>49240.523000000001</v>
      </c>
      <c r="N41" s="1315">
        <v>49884.733</v>
      </c>
      <c r="O41" s="1315">
        <f>1241.461+45051.202+5043.786</f>
        <v>51336.449000000001</v>
      </c>
      <c r="P41" s="1315">
        <f>51969.937+790</f>
        <v>52759.936999999998</v>
      </c>
      <c r="Q41" s="1315">
        <f>52415.972+118</f>
        <v>52533.972000000002</v>
      </c>
      <c r="R41" s="1315">
        <f>53515.319+326</f>
        <v>53841.319000000003</v>
      </c>
      <c r="S41" s="1315">
        <v>54279.885999999999</v>
      </c>
      <c r="T41" s="1315">
        <f>56947.333+959.713</f>
        <v>57907.046000000002</v>
      </c>
      <c r="U41" s="1315">
        <f>988.797+361.03+50159.023+6528.703</f>
        <v>58037.553</v>
      </c>
      <c r="V41" s="1315">
        <f>987.675+1555.684+48950.999+6600.003</f>
        <v>58094.360999999997</v>
      </c>
      <c r="W41" s="1315">
        <f>948.308+2038.423+47970.294+6135.647+105.665</f>
        <v>57198.337</v>
      </c>
      <c r="X41" s="1315">
        <f>55979.378+267.308</f>
        <v>56246.685999999994</v>
      </c>
      <c r="Y41" s="1315">
        <f>1192.029+1165.533+52564.853+7367.81</f>
        <v>62290.224999999999</v>
      </c>
      <c r="Z41" s="1315">
        <f>1128.358+108.247+51351.222+7339.542</f>
        <v>59927.369000000006</v>
      </c>
      <c r="AA41" s="1315">
        <f>1319.339+53930.247+7277.642</f>
        <v>62527.228000000003</v>
      </c>
      <c r="AB41" s="1315">
        <v>62963.722000000002</v>
      </c>
      <c r="AC41" s="1315">
        <f>627.556+880.055+55129.19+7234.665</f>
        <v>63871.466</v>
      </c>
      <c r="AD41" s="1315">
        <f>351.062+241.26+55356.356+7066.004</f>
        <v>63014.682000000001</v>
      </c>
      <c r="AE41" s="1315">
        <f>391.286+4432.239+10.652+54668.212+7307.327</f>
        <v>66809.716</v>
      </c>
      <c r="AF41" s="1315">
        <f>313.898+710.796+0.213+56434.399+4.044+7068.584</f>
        <v>64531.934000000001</v>
      </c>
      <c r="AG41" s="1315">
        <f>348.761+1009.53+17.035+56660.407+10.126+6830.507</f>
        <v>64876.365999999995</v>
      </c>
      <c r="AH41" s="1323">
        <f>300.367+1311.619+57517.296+12.293+6665.024</f>
        <v>65806.599000000002</v>
      </c>
      <c r="AI41" s="1315">
        <f>56722+1339+12585.8</f>
        <v>70646.8</v>
      </c>
      <c r="AJ41" s="1315">
        <f>57483+1022+12596</f>
        <v>71101</v>
      </c>
      <c r="AK41" s="1315">
        <f>61460+155+12568</f>
        <v>74183</v>
      </c>
      <c r="AL41" s="1315">
        <f>60828+432+13004</f>
        <v>74264</v>
      </c>
      <c r="AM41" s="1316">
        <f>60497+902+13236</f>
        <v>74635</v>
      </c>
      <c r="AN41" s="1317"/>
      <c r="AO41" s="1317"/>
      <c r="AP41" s="1317"/>
      <c r="AQ41" s="1317"/>
      <c r="AR41" s="1317"/>
      <c r="AS41" s="1317"/>
      <c r="AT41" s="1317"/>
      <c r="AU41" s="1317"/>
      <c r="AV41" s="1317"/>
      <c r="AW41" s="1317"/>
      <c r="AX41" s="1317"/>
      <c r="AY41" s="1317"/>
      <c r="AZ41" s="1317"/>
      <c r="BA41" s="1317"/>
      <c r="BB41" s="1317"/>
      <c r="BC41" s="1317"/>
      <c r="BD41" s="1317"/>
      <c r="BE41" s="1317"/>
      <c r="BF41" s="1317"/>
      <c r="BG41" s="1317"/>
      <c r="BH41" s="1317"/>
      <c r="BI41" s="1317"/>
      <c r="BJ41" s="1317"/>
      <c r="BK41" s="1317"/>
      <c r="BL41" s="1317"/>
      <c r="BM41" s="1317"/>
      <c r="BN41" s="1317"/>
      <c r="BO41" s="1317"/>
      <c r="BP41" s="1317"/>
      <c r="BQ41" s="1317"/>
      <c r="BR41" s="1317"/>
      <c r="BS41" s="1317"/>
      <c r="BT41" s="1317"/>
      <c r="BU41" s="1317"/>
      <c r="BV41" s="1317"/>
      <c r="BW41" s="1317"/>
      <c r="BX41" s="1317"/>
      <c r="BY41" s="1317"/>
      <c r="BZ41" s="1317"/>
      <c r="CA41" s="1317"/>
      <c r="CB41" s="1317"/>
      <c r="CC41" s="1317"/>
      <c r="CD41" s="1317"/>
    </row>
    <row r="42" spans="1:82" s="1322" customFormat="1">
      <c r="A42" s="583" t="s">
        <v>571</v>
      </c>
      <c r="B42" s="584" t="s">
        <v>626</v>
      </c>
      <c r="C42" s="584"/>
      <c r="D42" s="1319"/>
      <c r="E42" s="1319"/>
      <c r="F42" s="1319"/>
      <c r="G42" s="595">
        <f>-1727.177-19.248-21.496-71.822</f>
        <v>-1839.7429999999999</v>
      </c>
      <c r="H42" s="1319"/>
      <c r="I42" s="1319"/>
      <c r="J42" s="1319"/>
      <c r="K42" s="595">
        <f>-2229.665-26.938-13.134-89.905</f>
        <v>-2359.6420000000003</v>
      </c>
      <c r="L42" s="1319"/>
      <c r="M42" s="1319"/>
      <c r="N42" s="1319"/>
      <c r="O42" s="595">
        <f>-2709.36-37.058-15.779-108.373</f>
        <v>-2870.57</v>
      </c>
      <c r="P42" s="595"/>
      <c r="Q42" s="595">
        <f>-2981.31-28.278-16.471-117.483</f>
        <v>-3143.5419999999999</v>
      </c>
      <c r="R42" s="595">
        <f>-3215.82-26.948-17.626-121.078</f>
        <v>-3381.4720000000002</v>
      </c>
      <c r="S42" s="595">
        <f>-3458.562-25.376-19.64-122.144</f>
        <v>-3625.7219999999998</v>
      </c>
      <c r="T42" s="595">
        <f>-3751.216-25.593-133.33-18.555</f>
        <v>-3928.6939999999995</v>
      </c>
      <c r="U42" s="595">
        <f>-3784.071-27.187-13.144-138.736</f>
        <v>-3963.1379999999995</v>
      </c>
      <c r="V42" s="595">
        <f>-3589.697-22.709-11.119-136.919</f>
        <v>-3760.444</v>
      </c>
      <c r="W42" s="595">
        <f>-3329.352-5.524-10.549-132.683</f>
        <v>-3478.1079999999997</v>
      </c>
      <c r="X42" s="595">
        <f>-3353.689-2.031-10.233-138.128</f>
        <v>-3504.0810000000001</v>
      </c>
      <c r="Y42" s="595">
        <f>-3733.008-4.207-11.612-155.822</f>
        <v>-3904.6489999999999</v>
      </c>
      <c r="Z42" s="595">
        <f>-3855.135-6.216-12.215-164.256</f>
        <v>-4037.8220000000001</v>
      </c>
      <c r="AA42" s="595">
        <f>-4089.16-9.483-12.639-184.808</f>
        <v>-4296.09</v>
      </c>
      <c r="AB42" s="595">
        <v>-4403.1760000000004</v>
      </c>
      <c r="AC42" s="595">
        <f>-4219.909-7.807-15.331-192.191</f>
        <v>-4435.2379999999994</v>
      </c>
      <c r="AD42" s="595">
        <f>-4203.196-7.897-16.595-193.556</f>
        <v>-4421.2439999999997</v>
      </c>
      <c r="AE42" s="595">
        <f>-4106.9-202.1</f>
        <v>-4309</v>
      </c>
      <c r="AF42" s="595">
        <f>-4097.235-5.111-27.662-200.233</f>
        <v>-4330.241</v>
      </c>
      <c r="AG42" s="595">
        <f>-4177.397-6.175-26.607-198.815</f>
        <v>-4408.9939999999997</v>
      </c>
      <c r="AH42" s="595">
        <f>-4109.997-3.878-24.785-202.47</f>
        <v>-4341.13</v>
      </c>
      <c r="AI42" s="595">
        <v>-3807</v>
      </c>
      <c r="AJ42" s="595">
        <v>-3851</v>
      </c>
      <c r="AK42" s="595">
        <v>-3860</v>
      </c>
      <c r="AL42" s="595">
        <v>-3852</v>
      </c>
      <c r="AM42" s="1320">
        <v>-3705</v>
      </c>
      <c r="AN42" s="1321"/>
      <c r="AO42" s="1321"/>
      <c r="AP42" s="1321"/>
      <c r="AQ42" s="1321"/>
      <c r="AR42" s="1321"/>
      <c r="AS42" s="1321"/>
      <c r="AT42" s="1321"/>
      <c r="AU42" s="1321"/>
      <c r="AV42" s="1321"/>
      <c r="AW42" s="1321"/>
      <c r="AX42" s="1321"/>
      <c r="AY42" s="1321"/>
      <c r="AZ42" s="1321"/>
      <c r="BA42" s="1321"/>
      <c r="BB42" s="1321"/>
      <c r="BC42" s="1321"/>
      <c r="BD42" s="1321"/>
      <c r="BE42" s="1321"/>
      <c r="BF42" s="1321"/>
      <c r="BG42" s="1321"/>
      <c r="BH42" s="1321"/>
      <c r="BI42" s="1321"/>
      <c r="BJ42" s="1321"/>
      <c r="BK42" s="1321"/>
      <c r="BL42" s="1321"/>
      <c r="BM42" s="1321"/>
      <c r="BN42" s="1321"/>
      <c r="BO42" s="1321"/>
      <c r="BP42" s="1321"/>
      <c r="BQ42" s="1321"/>
      <c r="BR42" s="1321"/>
      <c r="BS42" s="1321"/>
      <c r="BT42" s="1321"/>
      <c r="BU42" s="1321"/>
      <c r="BV42" s="1321"/>
      <c r="BW42" s="1321"/>
      <c r="BX42" s="1321"/>
      <c r="BY42" s="1321"/>
      <c r="BZ42" s="1321"/>
      <c r="CA42" s="1321"/>
      <c r="CB42" s="1321"/>
      <c r="CC42" s="1321"/>
      <c r="CD42" s="1321"/>
    </row>
    <row r="43" spans="1:82" s="1322" customFormat="1">
      <c r="A43" s="583" t="s">
        <v>570</v>
      </c>
      <c r="B43" s="584" t="s">
        <v>631</v>
      </c>
      <c r="C43" s="584"/>
      <c r="D43" s="1319"/>
      <c r="E43" s="1319"/>
      <c r="F43" s="1319"/>
      <c r="G43" s="595">
        <f t="shared" ref="G43:AA43" si="17">G41+G42</f>
        <v>42151.03</v>
      </c>
      <c r="H43" s="1319"/>
      <c r="I43" s="1319"/>
      <c r="J43" s="1319"/>
      <c r="K43" s="595">
        <f t="shared" si="17"/>
        <v>44552.771000000001</v>
      </c>
      <c r="L43" s="1319"/>
      <c r="M43" s="1319"/>
      <c r="N43" s="1319"/>
      <c r="O43" s="595">
        <f t="shared" si="17"/>
        <v>48465.879000000001</v>
      </c>
      <c r="P43" s="595">
        <f t="shared" si="17"/>
        <v>52759.936999999998</v>
      </c>
      <c r="Q43" s="595">
        <f t="shared" si="17"/>
        <v>49390.43</v>
      </c>
      <c r="R43" s="595">
        <f t="shared" si="17"/>
        <v>50459.847000000002</v>
      </c>
      <c r="S43" s="595">
        <f t="shared" si="17"/>
        <v>50654.163999999997</v>
      </c>
      <c r="T43" s="595">
        <f t="shared" si="17"/>
        <v>53978.351999999999</v>
      </c>
      <c r="U43" s="595">
        <f t="shared" si="17"/>
        <v>54074.415000000001</v>
      </c>
      <c r="V43" s="595">
        <f t="shared" si="17"/>
        <v>54333.916999999994</v>
      </c>
      <c r="W43" s="595">
        <f t="shared" si="17"/>
        <v>53720.228999999999</v>
      </c>
      <c r="X43" s="595">
        <f t="shared" si="17"/>
        <v>52742.604999999996</v>
      </c>
      <c r="Y43" s="595">
        <f t="shared" si="17"/>
        <v>58385.576000000001</v>
      </c>
      <c r="Z43" s="595">
        <f t="shared" si="17"/>
        <v>55889.547000000006</v>
      </c>
      <c r="AA43" s="595">
        <f t="shared" si="17"/>
        <v>58231.138000000006</v>
      </c>
      <c r="AB43" s="595">
        <f>AB41+AB42</f>
        <v>58560.546000000002</v>
      </c>
      <c r="AC43" s="595">
        <f t="shared" ref="AC43:AM43" si="18">AC41+AC42</f>
        <v>59436.228000000003</v>
      </c>
      <c r="AD43" s="595">
        <f t="shared" si="18"/>
        <v>58593.438000000002</v>
      </c>
      <c r="AE43" s="595">
        <f t="shared" si="18"/>
        <v>62500.716</v>
      </c>
      <c r="AF43" s="595">
        <f t="shared" si="18"/>
        <v>60201.692999999999</v>
      </c>
      <c r="AG43" s="595">
        <f t="shared" si="18"/>
        <v>60467.371999999996</v>
      </c>
      <c r="AH43" s="595">
        <f t="shared" si="18"/>
        <v>61465.469000000005</v>
      </c>
      <c r="AI43" s="595">
        <f t="shared" si="18"/>
        <v>66839.8</v>
      </c>
      <c r="AJ43" s="595">
        <f t="shared" si="18"/>
        <v>67250</v>
      </c>
      <c r="AK43" s="595">
        <f t="shared" si="18"/>
        <v>70323</v>
      </c>
      <c r="AL43" s="595">
        <f t="shared" si="18"/>
        <v>70412</v>
      </c>
      <c r="AM43" s="1320">
        <f t="shared" si="18"/>
        <v>70930</v>
      </c>
      <c r="AN43" s="1321"/>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row>
    <row r="44" spans="1:82" s="1318" customFormat="1">
      <c r="A44" s="1314" t="s">
        <v>573</v>
      </c>
      <c r="B44" s="1312" t="s">
        <v>629</v>
      </c>
      <c r="C44" s="1312"/>
      <c r="D44" s="1315">
        <v>21117.883999999998</v>
      </c>
      <c r="E44" s="1315">
        <v>21847.397000000001</v>
      </c>
      <c r="F44" s="1315">
        <v>22933.061000000002</v>
      </c>
      <c r="G44" s="1315">
        <v>23483.449000000001</v>
      </c>
      <c r="H44" s="1315">
        <v>24168.866999999998</v>
      </c>
      <c r="I44" s="1315">
        <v>24763.018</v>
      </c>
      <c r="J44" s="1315">
        <v>25519.778999999999</v>
      </c>
      <c r="K44" s="1315">
        <v>25446.264999999999</v>
      </c>
      <c r="L44" s="1315">
        <v>25222.058000000001</v>
      </c>
      <c r="M44" s="1315">
        <v>24975.346000000001</v>
      </c>
      <c r="N44" s="1315">
        <v>24836.356</v>
      </c>
      <c r="O44" s="1315">
        <v>24067.133999999998</v>
      </c>
      <c r="P44" s="1315">
        <v>23134.834000000003</v>
      </c>
      <c r="Q44" s="1315">
        <v>22617.719000000001</v>
      </c>
      <c r="R44" s="1315">
        <v>22500.23</v>
      </c>
      <c r="S44" s="1315">
        <v>21767.542000000001</v>
      </c>
      <c r="T44" s="1315">
        <v>21043.556</v>
      </c>
      <c r="U44" s="1315">
        <v>20882.578000000001</v>
      </c>
      <c r="V44" s="1315">
        <v>20729.518</v>
      </c>
      <c r="W44" s="1315">
        <v>20627.222000000002</v>
      </c>
      <c r="X44" s="1315">
        <v>20303.838</v>
      </c>
      <c r="Y44" s="1315">
        <v>20955.316999999999</v>
      </c>
      <c r="Z44" s="1315">
        <v>21538.517</v>
      </c>
      <c r="AA44" s="1315">
        <v>21644.625</v>
      </c>
      <c r="AB44" s="1315">
        <v>21696.171999999999</v>
      </c>
      <c r="AC44" s="1315">
        <v>22339.514999999999</v>
      </c>
      <c r="AD44" s="1315">
        <v>23476.089</v>
      </c>
      <c r="AE44" s="1315">
        <v>23529.145</v>
      </c>
      <c r="AF44" s="1315">
        <v>23596.708999999999</v>
      </c>
      <c r="AG44" s="1315">
        <v>24246.328000000001</v>
      </c>
      <c r="AH44" s="1315">
        <v>24439.008000000002</v>
      </c>
      <c r="AI44" s="1315">
        <v>24693</v>
      </c>
      <c r="AJ44" s="1315">
        <v>24896</v>
      </c>
      <c r="AK44" s="1315">
        <v>25559</v>
      </c>
      <c r="AL44" s="1315">
        <v>26250</v>
      </c>
      <c r="AM44" s="1316">
        <v>26276</v>
      </c>
      <c r="AN44" s="1317"/>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row>
    <row r="45" spans="1:82" s="1322" customFormat="1">
      <c r="A45" s="583" t="s">
        <v>571</v>
      </c>
      <c r="B45" s="584" t="s">
        <v>626</v>
      </c>
      <c r="C45" s="584"/>
      <c r="D45" s="1319"/>
      <c r="E45" s="1319"/>
      <c r="F45" s="1319"/>
      <c r="G45" s="595">
        <v>-1362.6210000000001</v>
      </c>
      <c r="H45" s="1319"/>
      <c r="I45" s="1319"/>
      <c r="J45" s="1319"/>
      <c r="K45" s="595">
        <v>-1513.7170000000001</v>
      </c>
      <c r="L45" s="1319"/>
      <c r="M45" s="1319"/>
      <c r="N45" s="1319"/>
      <c r="O45" s="595">
        <v>-1463.8430000000001</v>
      </c>
      <c r="P45" s="595"/>
      <c r="Q45" s="595">
        <v>-1373.134</v>
      </c>
      <c r="R45" s="595">
        <v>-1519.789</v>
      </c>
      <c r="S45" s="595">
        <v>-1431.6890000000001</v>
      </c>
      <c r="T45" s="595">
        <v>-1480.127</v>
      </c>
      <c r="U45" s="595">
        <v>-1478.604</v>
      </c>
      <c r="V45" s="595">
        <v>-1400.471</v>
      </c>
      <c r="W45" s="595">
        <v>-1413.3489999999999</v>
      </c>
      <c r="X45" s="595">
        <v>-1328.2850000000001</v>
      </c>
      <c r="Y45" s="595">
        <v>-1379.1510000000001</v>
      </c>
      <c r="Z45" s="595">
        <v>-1336.027</v>
      </c>
      <c r="AA45" s="595">
        <v>-1322.9069999999999</v>
      </c>
      <c r="AB45" s="595">
        <v>-1315.02</v>
      </c>
      <c r="AC45" s="595">
        <v>-1359.8320000000001</v>
      </c>
      <c r="AD45" s="595">
        <v>-1606.279</v>
      </c>
      <c r="AE45" s="595">
        <v>-1569.3</v>
      </c>
      <c r="AF45" s="595">
        <v>-1633.1</v>
      </c>
      <c r="AG45" s="595">
        <v>-1687.2370000000001</v>
      </c>
      <c r="AH45" s="595">
        <v>-1513.096</v>
      </c>
      <c r="AI45" s="595">
        <v>-1471</v>
      </c>
      <c r="AJ45" s="595">
        <v>-1575</v>
      </c>
      <c r="AK45" s="595">
        <v>-1628</v>
      </c>
      <c r="AL45" s="595">
        <v>-1747</v>
      </c>
      <c r="AM45" s="1320">
        <v>-1686</v>
      </c>
      <c r="AN45" s="1321"/>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row>
    <row r="46" spans="1:82" s="1322" customFormat="1">
      <c r="A46" s="583" t="s">
        <v>570</v>
      </c>
      <c r="B46" s="584" t="s">
        <v>630</v>
      </c>
      <c r="C46" s="584"/>
      <c r="D46" s="1319"/>
      <c r="E46" s="1319"/>
      <c r="F46" s="1319"/>
      <c r="G46" s="595">
        <f t="shared" ref="G46:AA46" si="19">G44+G45</f>
        <v>22120.828000000001</v>
      </c>
      <c r="H46" s="1319"/>
      <c r="I46" s="1319"/>
      <c r="J46" s="1319"/>
      <c r="K46" s="595">
        <f t="shared" si="19"/>
        <v>23932.547999999999</v>
      </c>
      <c r="L46" s="1319"/>
      <c r="M46" s="1319"/>
      <c r="N46" s="1319"/>
      <c r="O46" s="595">
        <f t="shared" si="19"/>
        <v>22603.290999999997</v>
      </c>
      <c r="P46" s="595">
        <f t="shared" si="19"/>
        <v>23134.834000000003</v>
      </c>
      <c r="Q46" s="595">
        <f t="shared" si="19"/>
        <v>21244.584999999999</v>
      </c>
      <c r="R46" s="595">
        <f t="shared" si="19"/>
        <v>20980.440999999999</v>
      </c>
      <c r="S46" s="595">
        <f t="shared" si="19"/>
        <v>20335.853000000003</v>
      </c>
      <c r="T46" s="595">
        <f t="shared" si="19"/>
        <v>19563.429</v>
      </c>
      <c r="U46" s="595">
        <f t="shared" si="19"/>
        <v>19403.974000000002</v>
      </c>
      <c r="V46" s="595">
        <f t="shared" si="19"/>
        <v>19329.046999999999</v>
      </c>
      <c r="W46" s="595">
        <f t="shared" si="19"/>
        <v>19213.873000000003</v>
      </c>
      <c r="X46" s="595">
        <f t="shared" si="19"/>
        <v>18975.553</v>
      </c>
      <c r="Y46" s="595">
        <f t="shared" si="19"/>
        <v>19576.165999999997</v>
      </c>
      <c r="Z46" s="595">
        <f t="shared" si="19"/>
        <v>20202.489999999998</v>
      </c>
      <c r="AA46" s="595">
        <f t="shared" si="19"/>
        <v>20321.718000000001</v>
      </c>
      <c r="AB46" s="595">
        <f>AB44+AB45</f>
        <v>20381.151999999998</v>
      </c>
      <c r="AC46" s="595">
        <v>22339.514999999999</v>
      </c>
      <c r="AD46" s="595">
        <v>23476.089</v>
      </c>
      <c r="AE46" s="595">
        <v>23529.145</v>
      </c>
      <c r="AF46" s="595">
        <v>23596.708999999999</v>
      </c>
      <c r="AG46" s="595">
        <v>0</v>
      </c>
      <c r="AH46" s="595">
        <v>24438.417000000001</v>
      </c>
      <c r="AI46" s="595">
        <v>23222</v>
      </c>
      <c r="AJ46" s="595">
        <v>23321</v>
      </c>
      <c r="AK46" s="595">
        <v>23931</v>
      </c>
      <c r="AL46" s="595">
        <v>24503</v>
      </c>
      <c r="AM46" s="1320">
        <v>24590</v>
      </c>
      <c r="AN46" s="1321"/>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row>
    <row r="47" spans="1:82" s="1318" customFormat="1">
      <c r="A47" s="1314" t="s">
        <v>574</v>
      </c>
      <c r="B47" s="1312" t="s">
        <v>622</v>
      </c>
      <c r="C47" s="1312"/>
      <c r="D47" s="1315">
        <v>0</v>
      </c>
      <c r="E47" s="1315">
        <v>0</v>
      </c>
      <c r="F47" s="1315">
        <v>0</v>
      </c>
      <c r="G47" s="1315">
        <v>0</v>
      </c>
      <c r="H47" s="1315">
        <v>0</v>
      </c>
      <c r="I47" s="1315">
        <v>0</v>
      </c>
      <c r="J47" s="1315">
        <v>0</v>
      </c>
      <c r="K47" s="1315">
        <v>0</v>
      </c>
      <c r="L47" s="1315">
        <v>0</v>
      </c>
      <c r="M47" s="1315">
        <v>0</v>
      </c>
      <c r="N47" s="1315">
        <v>0</v>
      </c>
      <c r="O47" s="1315">
        <v>0</v>
      </c>
      <c r="P47" s="1315">
        <v>0</v>
      </c>
      <c r="Q47" s="1315">
        <v>0</v>
      </c>
      <c r="R47" s="1315">
        <v>630.86699999999996</v>
      </c>
      <c r="S47" s="1315">
        <v>903.06799999999998</v>
      </c>
      <c r="T47" s="1315">
        <v>919.62199999999996</v>
      </c>
      <c r="U47" s="1315">
        <v>908.85</v>
      </c>
      <c r="V47" s="1315">
        <v>836.28899999999999</v>
      </c>
      <c r="W47" s="1315">
        <v>838.846</v>
      </c>
      <c r="X47" s="1315">
        <v>847.67499999999995</v>
      </c>
      <c r="Y47" s="1315">
        <v>1905.847</v>
      </c>
      <c r="Z47" s="1315">
        <v>2526.5500000000002</v>
      </c>
      <c r="AA47" s="1315">
        <v>2108.9810000000002</v>
      </c>
      <c r="AB47" s="1315">
        <v>2065.6930000000002</v>
      </c>
      <c r="AC47" s="1315">
        <v>2048.299</v>
      </c>
      <c r="AD47" s="1315">
        <v>2565.7719999999999</v>
      </c>
      <c r="AE47" s="1315">
        <v>2660.873</v>
      </c>
      <c r="AF47" s="1315">
        <v>2437.163</v>
      </c>
      <c r="AG47" s="1315">
        <v>2484.0529999999999</v>
      </c>
      <c r="AH47" s="1315">
        <v>2392.4870000000001</v>
      </c>
      <c r="AI47" s="1315">
        <v>2352</v>
      </c>
      <c r="AJ47" s="1315">
        <v>2503</v>
      </c>
      <c r="AK47" s="1315">
        <v>2422</v>
      </c>
      <c r="AL47" s="1315">
        <v>2296</v>
      </c>
      <c r="AM47" s="1316">
        <v>1859</v>
      </c>
      <c r="AN47" s="1317"/>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row>
    <row r="48" spans="1:82" s="1322" customFormat="1">
      <c r="A48" s="583" t="s">
        <v>571</v>
      </c>
      <c r="B48" s="584" t="s">
        <v>626</v>
      </c>
      <c r="C48" s="584"/>
      <c r="D48" s="595"/>
      <c r="E48" s="595"/>
      <c r="F48" s="595"/>
      <c r="G48" s="595"/>
      <c r="H48" s="595"/>
      <c r="I48" s="595"/>
      <c r="J48" s="595"/>
      <c r="K48" s="595"/>
      <c r="L48" s="595"/>
      <c r="M48" s="595"/>
      <c r="N48" s="595"/>
      <c r="O48" s="595"/>
      <c r="P48" s="595"/>
      <c r="Q48" s="595"/>
      <c r="R48" s="595">
        <v>-1.3879999999999999</v>
      </c>
      <c r="S48" s="595">
        <v>-1.806</v>
      </c>
      <c r="T48" s="595">
        <v>-1.839</v>
      </c>
      <c r="U48" s="595">
        <v>-2.944</v>
      </c>
      <c r="V48" s="595">
        <v>-7.1369999999999996</v>
      </c>
      <c r="W48" s="595">
        <v>-27.087</v>
      </c>
      <c r="X48" s="595">
        <v>-26.055</v>
      </c>
      <c r="Y48" s="595">
        <v>-40.270000000000003</v>
      </c>
      <c r="Z48" s="595">
        <v>-67.353999999999999</v>
      </c>
      <c r="AA48" s="595">
        <v>-92.944999999999993</v>
      </c>
      <c r="AB48" s="595">
        <v>-91.884</v>
      </c>
      <c r="AC48" s="595">
        <v>-92.74</v>
      </c>
      <c r="AD48" s="595">
        <v>-64.36</v>
      </c>
      <c r="AE48" s="595">
        <v>-69</v>
      </c>
      <c r="AF48" s="595">
        <v>-67.120999999999995</v>
      </c>
      <c r="AG48" s="595">
        <v>-72.613</v>
      </c>
      <c r="AH48" s="595">
        <v>-68.590999999999994</v>
      </c>
      <c r="AI48" s="595">
        <v>-69</v>
      </c>
      <c r="AJ48" s="595">
        <v>-70</v>
      </c>
      <c r="AK48" s="595">
        <v>-70</v>
      </c>
      <c r="AL48" s="595">
        <v>-70</v>
      </c>
      <c r="AM48" s="1320">
        <v>-4</v>
      </c>
      <c r="AN48" s="1321"/>
      <c r="AO48" s="1321"/>
      <c r="AP48" s="1321"/>
      <c r="AQ48" s="1321"/>
      <c r="AR48" s="1321"/>
      <c r="AS48" s="1321"/>
      <c r="AT48" s="1321"/>
      <c r="AU48" s="1321"/>
      <c r="AV48" s="1321"/>
      <c r="AW48" s="1321"/>
      <c r="AX48" s="1321"/>
      <c r="AY48" s="1321"/>
      <c r="AZ48" s="1321"/>
      <c r="BA48" s="1321"/>
      <c r="BB48" s="1321"/>
      <c r="BC48" s="1321"/>
      <c r="BD48" s="1321"/>
      <c r="BE48" s="1321"/>
      <c r="BF48" s="1321"/>
      <c r="BG48" s="1321"/>
      <c r="BH48" s="1321"/>
      <c r="BI48" s="1321"/>
      <c r="BJ48" s="1321"/>
      <c r="BK48" s="1321"/>
      <c r="BL48" s="1321"/>
      <c r="BM48" s="1321"/>
      <c r="BN48" s="1321"/>
      <c r="BO48" s="1321"/>
      <c r="BP48" s="1321"/>
      <c r="BQ48" s="1321"/>
      <c r="BR48" s="1321"/>
      <c r="BS48" s="1321"/>
      <c r="BT48" s="1321"/>
      <c r="BU48" s="1321"/>
      <c r="BV48" s="1321"/>
      <c r="BW48" s="1321"/>
      <c r="BX48" s="1321"/>
      <c r="BY48" s="1321"/>
      <c r="BZ48" s="1321"/>
      <c r="CA48" s="1321"/>
      <c r="CB48" s="1321"/>
      <c r="CC48" s="1321"/>
      <c r="CD48" s="1321"/>
    </row>
    <row r="49" spans="1:82" s="1322" customFormat="1">
      <c r="A49" s="583" t="s">
        <v>570</v>
      </c>
      <c r="B49" s="584" t="s">
        <v>625</v>
      </c>
      <c r="C49" s="584"/>
      <c r="D49" s="595">
        <f t="shared" ref="D49:AC49" si="20">D47+D48</f>
        <v>0</v>
      </c>
      <c r="E49" s="595">
        <f t="shared" si="20"/>
        <v>0</v>
      </c>
      <c r="F49" s="595">
        <f t="shared" si="20"/>
        <v>0</v>
      </c>
      <c r="G49" s="595">
        <f t="shared" si="20"/>
        <v>0</v>
      </c>
      <c r="H49" s="595">
        <f t="shared" si="20"/>
        <v>0</v>
      </c>
      <c r="I49" s="595">
        <f t="shared" si="20"/>
        <v>0</v>
      </c>
      <c r="J49" s="595">
        <f t="shared" si="20"/>
        <v>0</v>
      </c>
      <c r="K49" s="595">
        <f t="shared" si="20"/>
        <v>0</v>
      </c>
      <c r="L49" s="595">
        <f t="shared" si="20"/>
        <v>0</v>
      </c>
      <c r="M49" s="595">
        <f t="shared" si="20"/>
        <v>0</v>
      </c>
      <c r="N49" s="595">
        <f t="shared" si="20"/>
        <v>0</v>
      </c>
      <c r="O49" s="595">
        <f t="shared" si="20"/>
        <v>0</v>
      </c>
      <c r="P49" s="595">
        <f t="shared" si="20"/>
        <v>0</v>
      </c>
      <c r="Q49" s="595">
        <f t="shared" si="20"/>
        <v>0</v>
      </c>
      <c r="R49" s="595">
        <f t="shared" si="20"/>
        <v>629.47899999999993</v>
      </c>
      <c r="S49" s="595">
        <f t="shared" si="20"/>
        <v>901.26199999999994</v>
      </c>
      <c r="T49" s="595">
        <f t="shared" si="20"/>
        <v>917.7829999999999</v>
      </c>
      <c r="U49" s="595">
        <f t="shared" si="20"/>
        <v>905.90600000000006</v>
      </c>
      <c r="V49" s="595">
        <f t="shared" si="20"/>
        <v>829.15200000000004</v>
      </c>
      <c r="W49" s="595">
        <f t="shared" si="20"/>
        <v>811.75900000000001</v>
      </c>
      <c r="X49" s="595">
        <f t="shared" si="20"/>
        <v>821.62</v>
      </c>
      <c r="Y49" s="595">
        <f t="shared" si="20"/>
        <v>1865.577</v>
      </c>
      <c r="Z49" s="595">
        <f t="shared" si="20"/>
        <v>2459.1960000000004</v>
      </c>
      <c r="AA49" s="595">
        <f t="shared" si="20"/>
        <v>2016.0360000000003</v>
      </c>
      <c r="AB49" s="595">
        <f t="shared" si="20"/>
        <v>1973.8090000000002</v>
      </c>
      <c r="AC49" s="595">
        <f t="shared" si="20"/>
        <v>1955.559</v>
      </c>
      <c r="AD49" s="595">
        <f>AD47+AD48</f>
        <v>2501.4119999999998</v>
      </c>
      <c r="AE49" s="595">
        <f t="shared" ref="AE49:AM49" si="21">AE47+AE48</f>
        <v>2591.873</v>
      </c>
      <c r="AF49" s="595">
        <f t="shared" si="21"/>
        <v>2370.0419999999999</v>
      </c>
      <c r="AG49" s="595">
        <f t="shared" si="21"/>
        <v>2411.44</v>
      </c>
      <c r="AH49" s="595">
        <f t="shared" si="21"/>
        <v>2323.8960000000002</v>
      </c>
      <c r="AI49" s="595">
        <f t="shared" si="21"/>
        <v>2283</v>
      </c>
      <c r="AJ49" s="595">
        <f t="shared" si="21"/>
        <v>2433</v>
      </c>
      <c r="AK49" s="595">
        <f t="shared" si="21"/>
        <v>2352</v>
      </c>
      <c r="AL49" s="595">
        <f t="shared" si="21"/>
        <v>2226</v>
      </c>
      <c r="AM49" s="1320">
        <f t="shared" si="21"/>
        <v>1855</v>
      </c>
      <c r="AN49" s="1321"/>
      <c r="AO49" s="1321"/>
      <c r="AP49" s="1321"/>
      <c r="AQ49" s="1321"/>
      <c r="AR49" s="1321"/>
      <c r="AS49" s="1321"/>
      <c r="AT49" s="1321"/>
      <c r="AU49" s="1321"/>
      <c r="AV49" s="1321"/>
      <c r="AW49" s="1321"/>
      <c r="AX49" s="1321"/>
      <c r="AY49" s="1321"/>
      <c r="AZ49" s="1321"/>
      <c r="BA49" s="1321"/>
      <c r="BB49" s="1321"/>
      <c r="BC49" s="1321"/>
      <c r="BD49" s="1321"/>
      <c r="BE49" s="1321"/>
      <c r="BF49" s="1321"/>
      <c r="BG49" s="1321"/>
      <c r="BH49" s="1321"/>
      <c r="BI49" s="1321"/>
      <c r="BJ49" s="1321"/>
      <c r="BK49" s="1321"/>
      <c r="BL49" s="1321"/>
      <c r="BM49" s="1321"/>
      <c r="BN49" s="1321"/>
      <c r="BO49" s="1321"/>
      <c r="BP49" s="1321"/>
      <c r="BQ49" s="1321"/>
      <c r="BR49" s="1321"/>
      <c r="BS49" s="1321"/>
      <c r="BT49" s="1321"/>
      <c r="BU49" s="1321"/>
      <c r="BV49" s="1321"/>
      <c r="BW49" s="1321"/>
      <c r="BX49" s="1321"/>
      <c r="BY49" s="1321"/>
      <c r="BZ49" s="1321"/>
      <c r="CA49" s="1321"/>
      <c r="CB49" s="1321"/>
      <c r="CC49" s="1321"/>
      <c r="CD49" s="1321"/>
    </row>
    <row r="50" spans="1:82" s="1318" customFormat="1">
      <c r="A50" s="1314" t="s">
        <v>576</v>
      </c>
      <c r="B50" s="1312" t="s">
        <v>623</v>
      </c>
      <c r="C50" s="1312"/>
      <c r="D50" s="1315">
        <v>0</v>
      </c>
      <c r="E50" s="1315">
        <v>0</v>
      </c>
      <c r="F50" s="1315">
        <v>0</v>
      </c>
      <c r="G50" s="1315">
        <v>0</v>
      </c>
      <c r="H50" s="1315">
        <v>0</v>
      </c>
      <c r="I50" s="1315">
        <v>0</v>
      </c>
      <c r="J50" s="1315">
        <v>0</v>
      </c>
      <c r="K50" s="1315">
        <v>0</v>
      </c>
      <c r="L50" s="1315">
        <v>0</v>
      </c>
      <c r="M50" s="1315">
        <v>0</v>
      </c>
      <c r="N50" s="1315">
        <v>0</v>
      </c>
      <c r="O50" s="1315">
        <v>0</v>
      </c>
      <c r="P50" s="1315">
        <v>0</v>
      </c>
      <c r="Q50" s="1315">
        <v>0</v>
      </c>
      <c r="R50" s="1315">
        <v>795.60699999999997</v>
      </c>
      <c r="S50" s="1315">
        <v>1175.039</v>
      </c>
      <c r="T50" s="1315">
        <v>1180.078</v>
      </c>
      <c r="U50" s="1315">
        <v>1163.1859999999999</v>
      </c>
      <c r="V50" s="1315">
        <v>1136.893</v>
      </c>
      <c r="W50" s="1315">
        <v>978.15899999999999</v>
      </c>
      <c r="X50" s="1315">
        <v>981.26800000000003</v>
      </c>
      <c r="Y50" s="1315">
        <v>2776.4859999999999</v>
      </c>
      <c r="Z50" s="1315">
        <v>2857.1170000000002</v>
      </c>
      <c r="AA50" s="1315">
        <v>2822.4989999999998</v>
      </c>
      <c r="AB50" s="1315">
        <v>2872.9479999999999</v>
      </c>
      <c r="AC50" s="1315">
        <v>2836.5340000000001</v>
      </c>
      <c r="AD50" s="1315">
        <v>2812.6790000000001</v>
      </c>
      <c r="AE50" s="1315">
        <v>2695.3710000000001</v>
      </c>
      <c r="AF50" s="1315">
        <v>2686.3760000000002</v>
      </c>
      <c r="AG50" s="1315">
        <v>2650.8589999999999</v>
      </c>
      <c r="AH50" s="1315">
        <v>2635.1680000000001</v>
      </c>
      <c r="AI50" s="1315">
        <v>2596</v>
      </c>
      <c r="AJ50" s="1315">
        <v>2581</v>
      </c>
      <c r="AK50" s="1315">
        <v>2529</v>
      </c>
      <c r="AL50" s="1315">
        <v>2508</v>
      </c>
      <c r="AM50" s="1316">
        <v>2519</v>
      </c>
      <c r="AN50" s="1317"/>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7"/>
      <c r="BP50" s="1317"/>
      <c r="BQ50" s="1317"/>
      <c r="BR50" s="1317"/>
      <c r="BS50" s="1317"/>
      <c r="BT50" s="1317"/>
      <c r="BU50" s="1317"/>
      <c r="BV50" s="1317"/>
      <c r="BW50" s="1317"/>
      <c r="BX50" s="1317"/>
      <c r="BY50" s="1317"/>
      <c r="BZ50" s="1317"/>
      <c r="CA50" s="1317"/>
      <c r="CB50" s="1317"/>
      <c r="CC50" s="1317"/>
      <c r="CD50" s="1317"/>
    </row>
    <row r="51" spans="1:82" s="1322" customFormat="1">
      <c r="A51" s="583" t="s">
        <v>571</v>
      </c>
      <c r="B51" s="584" t="s">
        <v>626</v>
      </c>
      <c r="C51" s="584"/>
      <c r="D51" s="595"/>
      <c r="E51" s="595"/>
      <c r="F51" s="595"/>
      <c r="G51" s="595"/>
      <c r="H51" s="595"/>
      <c r="I51" s="595"/>
      <c r="J51" s="595"/>
      <c r="K51" s="595"/>
      <c r="L51" s="595"/>
      <c r="M51" s="595"/>
      <c r="N51" s="595"/>
      <c r="O51" s="595"/>
      <c r="P51" s="595"/>
      <c r="Q51" s="595"/>
      <c r="R51" s="595">
        <v>-1.75</v>
      </c>
      <c r="S51" s="595">
        <v>-2.35</v>
      </c>
      <c r="T51" s="595">
        <v>-2.36</v>
      </c>
      <c r="U51" s="595">
        <v>-2.3260000000000001</v>
      </c>
      <c r="V51" s="595">
        <v>-1.478</v>
      </c>
      <c r="W51" s="595">
        <v>-0.97799999999999998</v>
      </c>
      <c r="X51" s="595">
        <v>-0.98099999999999998</v>
      </c>
      <c r="Y51" s="595">
        <v>-2.7389999999999999</v>
      </c>
      <c r="Z51" s="595">
        <v>-2.4350000000000001</v>
      </c>
      <c r="AA51" s="595">
        <v>-2.823</v>
      </c>
      <c r="AB51" s="595">
        <v>-2.8740000000000001</v>
      </c>
      <c r="AC51" s="595">
        <v>-2.8380000000000001</v>
      </c>
      <c r="AD51" s="595">
        <v>-2.8140000000000001</v>
      </c>
      <c r="AE51" s="595">
        <v>-2.7</v>
      </c>
      <c r="AF51" s="595">
        <v>-8.0589999999999993</v>
      </c>
      <c r="AG51" s="595">
        <v>-7.952</v>
      </c>
      <c r="AH51" s="595">
        <v>-7.9059999999999997</v>
      </c>
      <c r="AI51" s="595">
        <v>-8</v>
      </c>
      <c r="AJ51" s="595">
        <v>-6</v>
      </c>
      <c r="AK51" s="595">
        <v>-6</v>
      </c>
      <c r="AL51" s="595">
        <v>-6</v>
      </c>
      <c r="AM51" s="1320">
        <v>-6</v>
      </c>
      <c r="AN51" s="1321"/>
      <c r="AO51" s="1321"/>
      <c r="AP51" s="1321"/>
      <c r="AQ51" s="1321"/>
      <c r="AR51" s="1321"/>
      <c r="AS51" s="1321"/>
      <c r="AT51" s="1321"/>
      <c r="AU51" s="1321"/>
      <c r="AV51" s="1321"/>
      <c r="AW51" s="1321"/>
      <c r="AX51" s="1321"/>
      <c r="AY51" s="1321"/>
      <c r="AZ51" s="1321"/>
      <c r="BA51" s="1321"/>
      <c r="BB51" s="1321"/>
      <c r="BC51" s="1321"/>
      <c r="BD51" s="1321"/>
      <c r="BE51" s="1321"/>
      <c r="BF51" s="1321"/>
      <c r="BG51" s="1321"/>
      <c r="BH51" s="1321"/>
      <c r="BI51" s="1321"/>
      <c r="BJ51" s="1321"/>
      <c r="BK51" s="1321"/>
      <c r="BL51" s="1321"/>
      <c r="BM51" s="1321"/>
      <c r="BN51" s="1321"/>
      <c r="BO51" s="1321"/>
      <c r="BP51" s="1321"/>
      <c r="BQ51" s="1321"/>
      <c r="BR51" s="1321"/>
      <c r="BS51" s="1321"/>
      <c r="BT51" s="1321"/>
      <c r="BU51" s="1321"/>
      <c r="BV51" s="1321"/>
      <c r="BW51" s="1321"/>
      <c r="BX51" s="1321"/>
      <c r="BY51" s="1321"/>
      <c r="BZ51" s="1321"/>
      <c r="CA51" s="1321"/>
      <c r="CB51" s="1321"/>
      <c r="CC51" s="1321"/>
      <c r="CD51" s="1321"/>
    </row>
    <row r="52" spans="1:82" s="1322" customFormat="1">
      <c r="A52" s="583" t="s">
        <v>570</v>
      </c>
      <c r="B52" s="584" t="s">
        <v>624</v>
      </c>
      <c r="C52" s="584"/>
      <c r="D52" s="595">
        <f t="shared" ref="D52:AA52" si="22">D50+D51</f>
        <v>0</v>
      </c>
      <c r="E52" s="595">
        <f t="shared" si="22"/>
        <v>0</v>
      </c>
      <c r="F52" s="595">
        <f t="shared" si="22"/>
        <v>0</v>
      </c>
      <c r="G52" s="595">
        <f t="shared" si="22"/>
        <v>0</v>
      </c>
      <c r="H52" s="595">
        <f t="shared" si="22"/>
        <v>0</v>
      </c>
      <c r="I52" s="595">
        <f t="shared" si="22"/>
        <v>0</v>
      </c>
      <c r="J52" s="595">
        <f t="shared" si="22"/>
        <v>0</v>
      </c>
      <c r="K52" s="595">
        <f t="shared" si="22"/>
        <v>0</v>
      </c>
      <c r="L52" s="595">
        <f t="shared" si="22"/>
        <v>0</v>
      </c>
      <c r="M52" s="595">
        <f t="shared" si="22"/>
        <v>0</v>
      </c>
      <c r="N52" s="595">
        <f t="shared" si="22"/>
        <v>0</v>
      </c>
      <c r="O52" s="595">
        <f t="shared" si="22"/>
        <v>0</v>
      </c>
      <c r="P52" s="595">
        <f t="shared" si="22"/>
        <v>0</v>
      </c>
      <c r="Q52" s="595">
        <f t="shared" si="22"/>
        <v>0</v>
      </c>
      <c r="R52" s="595">
        <f t="shared" si="22"/>
        <v>793.85699999999997</v>
      </c>
      <c r="S52" s="595">
        <f t="shared" si="22"/>
        <v>1172.6890000000001</v>
      </c>
      <c r="T52" s="595">
        <f t="shared" si="22"/>
        <v>1177.7180000000001</v>
      </c>
      <c r="U52" s="595">
        <f t="shared" si="22"/>
        <v>1160.8599999999999</v>
      </c>
      <c r="V52" s="595">
        <f t="shared" si="22"/>
        <v>1135.415</v>
      </c>
      <c r="W52" s="595">
        <f t="shared" si="22"/>
        <v>977.18100000000004</v>
      </c>
      <c r="X52" s="595">
        <f t="shared" si="22"/>
        <v>980.28700000000003</v>
      </c>
      <c r="Y52" s="595">
        <f t="shared" si="22"/>
        <v>2773.7469999999998</v>
      </c>
      <c r="Z52" s="595">
        <f t="shared" si="22"/>
        <v>2854.6820000000002</v>
      </c>
      <c r="AA52" s="595">
        <f t="shared" si="22"/>
        <v>2819.6759999999999</v>
      </c>
      <c r="AB52" s="595">
        <f>AB50+AB51</f>
        <v>2870.0740000000001</v>
      </c>
      <c r="AC52" s="595">
        <f t="shared" ref="AC52:AM52" si="23">AC50+AC51</f>
        <v>2833.6959999999999</v>
      </c>
      <c r="AD52" s="595">
        <f t="shared" si="23"/>
        <v>2809.8650000000002</v>
      </c>
      <c r="AE52" s="595">
        <f t="shared" si="23"/>
        <v>2692.6710000000003</v>
      </c>
      <c r="AF52" s="595">
        <f t="shared" si="23"/>
        <v>2678.317</v>
      </c>
      <c r="AG52" s="595">
        <f t="shared" si="23"/>
        <v>2642.9069999999997</v>
      </c>
      <c r="AH52" s="595">
        <f t="shared" si="23"/>
        <v>2627.2620000000002</v>
      </c>
      <c r="AI52" s="595">
        <f t="shared" si="23"/>
        <v>2588</v>
      </c>
      <c r="AJ52" s="595">
        <f t="shared" si="23"/>
        <v>2575</v>
      </c>
      <c r="AK52" s="595">
        <f t="shared" si="23"/>
        <v>2523</v>
      </c>
      <c r="AL52" s="595">
        <f t="shared" si="23"/>
        <v>2502</v>
      </c>
      <c r="AM52" s="1320">
        <f t="shared" si="23"/>
        <v>2513</v>
      </c>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21"/>
      <c r="BQ52" s="1321"/>
      <c r="BR52" s="1321"/>
      <c r="BS52" s="1321"/>
      <c r="BT52" s="1321"/>
      <c r="BU52" s="1321"/>
      <c r="BV52" s="1321"/>
      <c r="BW52" s="1321"/>
      <c r="BX52" s="1321"/>
      <c r="BY52" s="1321"/>
      <c r="BZ52" s="1321"/>
      <c r="CA52" s="1321"/>
      <c r="CB52" s="1321"/>
      <c r="CC52" s="1321"/>
      <c r="CD52" s="1321"/>
    </row>
    <row r="53" spans="1:82" s="1322" customFormat="1">
      <c r="A53" s="1324" t="s">
        <v>516</v>
      </c>
      <c r="B53" s="1325" t="s">
        <v>632</v>
      </c>
      <c r="C53" s="1325"/>
      <c r="D53" s="1326">
        <v>514.78099999999995</v>
      </c>
      <c r="E53" s="1326">
        <v>501.01299999999998</v>
      </c>
      <c r="F53" s="1326">
        <v>517.10900000000004</v>
      </c>
      <c r="G53" s="1326">
        <v>563.79200000000003</v>
      </c>
      <c r="H53" s="1326">
        <v>589.54100000000005</v>
      </c>
      <c r="I53" s="1326">
        <v>623.08299999999997</v>
      </c>
      <c r="J53" s="1326">
        <v>667.88499999999999</v>
      </c>
      <c r="K53" s="1326">
        <v>724.86300000000006</v>
      </c>
      <c r="L53" s="1326">
        <v>771.62599999999998</v>
      </c>
      <c r="M53" s="1326">
        <v>810.99800000000005</v>
      </c>
      <c r="N53" s="1326"/>
      <c r="O53" s="1326">
        <v>1080.789</v>
      </c>
      <c r="P53" s="1326">
        <v>1104.0989999999999</v>
      </c>
      <c r="Q53" s="1326">
        <v>1149.4670000000001</v>
      </c>
      <c r="R53" s="1326"/>
      <c r="S53" s="1326"/>
      <c r="T53" s="1326"/>
      <c r="U53" s="1326"/>
      <c r="V53" s="1326"/>
      <c r="W53" s="1326"/>
      <c r="X53" s="1326"/>
      <c r="Y53" s="1326"/>
      <c r="Z53" s="1326"/>
      <c r="AA53" s="1326"/>
      <c r="AB53" s="1326"/>
      <c r="AC53" s="1326"/>
      <c r="AD53" s="1326"/>
      <c r="AE53" s="1326"/>
      <c r="AF53" s="1326"/>
      <c r="AG53" s="1326"/>
      <c r="AH53" s="1326"/>
      <c r="AI53" s="1326"/>
      <c r="AJ53" s="1326"/>
      <c r="AK53" s="1326"/>
      <c r="AL53" s="1326"/>
      <c r="AM53" s="1327"/>
      <c r="AN53" s="1321"/>
      <c r="AO53" s="1321"/>
      <c r="AP53" s="1321"/>
      <c r="AQ53" s="1321"/>
      <c r="AR53" s="1321"/>
      <c r="AS53" s="1321"/>
      <c r="AT53" s="1321"/>
      <c r="AU53" s="1321"/>
      <c r="AV53" s="1321"/>
      <c r="AW53" s="1321"/>
      <c r="AX53" s="1321"/>
      <c r="AY53" s="1321"/>
      <c r="AZ53" s="1321"/>
      <c r="BA53" s="1321"/>
      <c r="BB53" s="1321"/>
      <c r="BC53" s="1321"/>
      <c r="BD53" s="1321"/>
      <c r="BE53" s="1321"/>
      <c r="BF53" s="1321"/>
      <c r="BG53" s="1321"/>
      <c r="BH53" s="1321"/>
      <c r="BI53" s="1321"/>
      <c r="BJ53" s="1321"/>
      <c r="BK53" s="1321"/>
      <c r="BL53" s="1321"/>
      <c r="BM53" s="1321"/>
      <c r="BN53" s="1321"/>
      <c r="BO53" s="1321"/>
      <c r="BP53" s="1321"/>
      <c r="BQ53" s="1321"/>
      <c r="BR53" s="1321"/>
      <c r="BS53" s="1321"/>
      <c r="BT53" s="1321"/>
      <c r="BU53" s="1321"/>
      <c r="BV53" s="1321"/>
      <c r="BW53" s="1321"/>
      <c r="BX53" s="1321"/>
      <c r="BY53" s="1321"/>
      <c r="BZ53" s="1321"/>
      <c r="CA53" s="1321"/>
      <c r="CB53" s="1321"/>
      <c r="CC53" s="1321"/>
      <c r="CD53" s="1321"/>
    </row>
    <row r="54" spans="1:82" s="1318" customFormat="1">
      <c r="A54" s="1314" t="s">
        <v>572</v>
      </c>
      <c r="B54" s="1312" t="s">
        <v>617</v>
      </c>
      <c r="C54" s="1312"/>
      <c r="D54" s="1315">
        <f t="shared" ref="D54:AM54" si="24">D13</f>
        <v>109830.414</v>
      </c>
      <c r="E54" s="1315">
        <f t="shared" si="24"/>
        <v>111255.655</v>
      </c>
      <c r="F54" s="1315">
        <f t="shared" si="24"/>
        <v>115348.24400000001</v>
      </c>
      <c r="G54" s="1315">
        <f t="shared" si="24"/>
        <v>120509.709</v>
      </c>
      <c r="H54" s="1315">
        <f t="shared" si="24"/>
        <v>122254.51</v>
      </c>
      <c r="I54" s="1315">
        <f t="shared" si="24"/>
        <v>129190.68</v>
      </c>
      <c r="J54" s="1315">
        <f t="shared" si="24"/>
        <v>131531.40400000001</v>
      </c>
      <c r="K54" s="1315">
        <f t="shared" si="24"/>
        <v>135524.78899999999</v>
      </c>
      <c r="L54" s="1315">
        <f t="shared" si="24"/>
        <v>137653.014</v>
      </c>
      <c r="M54" s="1315">
        <f t="shared" si="24"/>
        <v>140970.476</v>
      </c>
      <c r="N54" s="1315">
        <f t="shared" si="24"/>
        <v>145339.52600000001</v>
      </c>
      <c r="O54" s="1315">
        <f t="shared" si="24"/>
        <v>147292.73699999999</v>
      </c>
      <c r="P54" s="1315">
        <f t="shared" si="24"/>
        <v>146532.65099999995</v>
      </c>
      <c r="Q54" s="1315">
        <f t="shared" si="24"/>
        <v>146960.48500000002</v>
      </c>
      <c r="R54" s="1315">
        <f t="shared" si="24"/>
        <v>148789.70000000001</v>
      </c>
      <c r="S54" s="1315">
        <f t="shared" si="24"/>
        <v>150259.33100000001</v>
      </c>
      <c r="T54" s="1315">
        <f t="shared" si="24"/>
        <v>154286.27299999999</v>
      </c>
      <c r="U54" s="1315">
        <f t="shared" si="24"/>
        <v>155930.22899999999</v>
      </c>
      <c r="V54" s="1315">
        <f t="shared" si="24"/>
        <v>156537.50899999999</v>
      </c>
      <c r="W54" s="1315">
        <f t="shared" si="24"/>
        <v>156274.04199999999</v>
      </c>
      <c r="X54" s="1315">
        <f t="shared" si="24"/>
        <v>156283.66200000001</v>
      </c>
      <c r="Y54" s="1315">
        <f t="shared" si="24"/>
        <v>185400.40299999999</v>
      </c>
      <c r="Z54" s="1315">
        <f t="shared" si="24"/>
        <v>185950.125</v>
      </c>
      <c r="AA54" s="1315">
        <f t="shared" si="24"/>
        <v>187519.861</v>
      </c>
      <c r="AB54" s="1315">
        <f t="shared" si="24"/>
        <v>190569.93900000001</v>
      </c>
      <c r="AC54" s="1315">
        <f t="shared" si="24"/>
        <v>193688.261</v>
      </c>
      <c r="AD54" s="1315">
        <f t="shared" si="24"/>
        <v>193727.78099999999</v>
      </c>
      <c r="AE54" s="1315">
        <f t="shared" si="24"/>
        <v>198700.91699999999</v>
      </c>
      <c r="AF54" s="1315">
        <f t="shared" si="24"/>
        <v>196236.875</v>
      </c>
      <c r="AG54" s="1315">
        <f t="shared" si="24"/>
        <v>199992.03899999999</v>
      </c>
      <c r="AH54" s="1315">
        <f t="shared" si="24"/>
        <v>201331.77499999999</v>
      </c>
      <c r="AI54" s="1315">
        <f t="shared" si="24"/>
        <v>208609.2</v>
      </c>
      <c r="AJ54" s="1315">
        <f t="shared" si="24"/>
        <v>208722</v>
      </c>
      <c r="AK54" s="1315">
        <f t="shared" si="24"/>
        <v>212738</v>
      </c>
      <c r="AL54" s="1315">
        <f t="shared" si="24"/>
        <v>214048</v>
      </c>
      <c r="AM54" s="1316">
        <f t="shared" si="24"/>
        <v>213452</v>
      </c>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7"/>
      <c r="BQ54" s="1317"/>
      <c r="BR54" s="1317"/>
      <c r="BS54" s="1317"/>
      <c r="BT54" s="1317"/>
      <c r="BU54" s="1317"/>
      <c r="BV54" s="1317"/>
      <c r="BW54" s="1317"/>
      <c r="BX54" s="1317"/>
      <c r="BY54" s="1317"/>
      <c r="BZ54" s="1317"/>
      <c r="CA54" s="1317"/>
      <c r="CB54" s="1317"/>
      <c r="CC54" s="1317"/>
      <c r="CD54" s="1317"/>
    </row>
    <row r="55" spans="1:82" s="1318" customFormat="1">
      <c r="A55" s="1314" t="s">
        <v>577</v>
      </c>
      <c r="B55" s="963" t="s">
        <v>715</v>
      </c>
      <c r="C55" s="963"/>
      <c r="D55" s="1315">
        <f t="shared" ref="D55:N55" si="25">D26</f>
        <v>-3290.2049999999999</v>
      </c>
      <c r="E55" s="1315">
        <f t="shared" si="25"/>
        <v>-3457.0830000000001</v>
      </c>
      <c r="F55" s="1315">
        <f t="shared" si="25"/>
        <v>-3531.1889999999999</v>
      </c>
      <c r="G55" s="1315">
        <f t="shared" si="25"/>
        <v>-3937.1239999999998</v>
      </c>
      <c r="H55" s="1315">
        <f t="shared" si="25"/>
        <v>-4362.0659999999998</v>
      </c>
      <c r="I55" s="1315">
        <f t="shared" si="25"/>
        <v>-4525.2129999999997</v>
      </c>
      <c r="J55" s="1315">
        <f t="shared" si="25"/>
        <v>-4816.3040000000001</v>
      </c>
      <c r="K55" s="1315">
        <f t="shared" si="25"/>
        <v>-4856.67</v>
      </c>
      <c r="L55" s="1315">
        <f t="shared" si="25"/>
        <v>-5233.21</v>
      </c>
      <c r="M55" s="1315">
        <f t="shared" si="25"/>
        <v>-5290.0370000000003</v>
      </c>
      <c r="N55" s="1315">
        <f t="shared" si="25"/>
        <v>-5644.2449999999999</v>
      </c>
      <c r="O55" s="1315">
        <f>O39+O42+O45+O48+O51</f>
        <v>-5658.2429999999995</v>
      </c>
      <c r="P55" s="1315">
        <v>-5969</v>
      </c>
      <c r="Q55" s="1315">
        <f t="shared" ref="Q55:AH55" si="26">Q39+Q42+Q45+Q48+Q51</f>
        <v>-6017.0649999999996</v>
      </c>
      <c r="R55" s="1315">
        <f t="shared" si="26"/>
        <v>-6475.0630000000001</v>
      </c>
      <c r="S55" s="1315">
        <f t="shared" si="26"/>
        <v>-6776.2650000000003</v>
      </c>
      <c r="T55" s="1315">
        <f t="shared" si="26"/>
        <v>-7197.1629999999996</v>
      </c>
      <c r="U55" s="1315">
        <f t="shared" si="26"/>
        <v>-7245.7840000000006</v>
      </c>
      <c r="V55" s="1315">
        <f t="shared" si="26"/>
        <v>-6926.1739999999991</v>
      </c>
      <c r="W55" s="1315">
        <f t="shared" si="26"/>
        <v>-6650.7800000000007</v>
      </c>
      <c r="X55" s="1315">
        <f t="shared" si="26"/>
        <v>-6622.7970000000005</v>
      </c>
      <c r="Y55" s="1315">
        <f t="shared" si="26"/>
        <v>-7406.4439999999995</v>
      </c>
      <c r="Z55" s="1315">
        <f t="shared" si="26"/>
        <v>-7616.8250000000007</v>
      </c>
      <c r="AA55" s="1315">
        <f t="shared" si="26"/>
        <v>-8022.4769999999999</v>
      </c>
      <c r="AB55" s="1315">
        <f t="shared" si="26"/>
        <v>-8129.5330000000013</v>
      </c>
      <c r="AC55" s="1315">
        <f t="shared" si="26"/>
        <v>-8352.1719999999987</v>
      </c>
      <c r="AD55" s="1315">
        <f t="shared" si="26"/>
        <v>-8534.6660000000011</v>
      </c>
      <c r="AE55" s="1315">
        <f t="shared" si="26"/>
        <v>-8287.2000000000007</v>
      </c>
      <c r="AF55" s="1315">
        <f t="shared" si="26"/>
        <v>-8367.7679999999982</v>
      </c>
      <c r="AG55" s="1315">
        <f t="shared" si="26"/>
        <v>-8476.6669999999976</v>
      </c>
      <c r="AH55" s="1315">
        <f t="shared" si="26"/>
        <v>-8157.4319999999998</v>
      </c>
      <c r="AI55" s="1315">
        <v>-8003</v>
      </c>
      <c r="AJ55" s="1315">
        <v>-8143</v>
      </c>
      <c r="AK55" s="1315">
        <v>-8118</v>
      </c>
      <c r="AL55" s="1315">
        <v>-8239</v>
      </c>
      <c r="AM55" s="1316">
        <v>-7823</v>
      </c>
      <c r="AN55" s="1317"/>
      <c r="AO55" s="1317"/>
      <c r="AP55" s="1317"/>
      <c r="AQ55" s="1317"/>
      <c r="AR55" s="1317"/>
      <c r="AS55" s="1317"/>
      <c r="AT55" s="1317"/>
      <c r="AU55" s="1317"/>
      <c r="AV55" s="1317"/>
      <c r="AW55" s="1317"/>
      <c r="AX55" s="1317"/>
      <c r="AY55" s="1317"/>
      <c r="AZ55" s="1317"/>
      <c r="BA55" s="1317"/>
      <c r="BB55" s="1317"/>
      <c r="BC55" s="1317"/>
      <c r="BD55" s="1317"/>
      <c r="BE55" s="1317"/>
      <c r="BF55" s="1317"/>
      <c r="BG55" s="1317"/>
      <c r="BH55" s="1317"/>
      <c r="BI55" s="1317"/>
      <c r="BJ55" s="1317"/>
      <c r="BK55" s="1317"/>
      <c r="BL55" s="1317"/>
      <c r="BM55" s="1317"/>
      <c r="BN55" s="1317"/>
      <c r="BO55" s="1317"/>
      <c r="BP55" s="1317"/>
      <c r="BQ55" s="1317"/>
      <c r="BR55" s="1317"/>
      <c r="BS55" s="1317"/>
      <c r="BT55" s="1317"/>
      <c r="BU55" s="1317"/>
      <c r="BV55" s="1317"/>
      <c r="BW55" s="1317"/>
      <c r="BX55" s="1317"/>
      <c r="BY55" s="1317"/>
      <c r="BZ55" s="1317"/>
      <c r="CA55" s="1317"/>
      <c r="CB55" s="1317"/>
      <c r="CC55" s="1317"/>
      <c r="CD55" s="1317"/>
    </row>
    <row r="56" spans="1:82" s="1318" customFormat="1">
      <c r="A56" s="1314" t="s">
        <v>118</v>
      </c>
      <c r="B56" s="1312" t="s">
        <v>347</v>
      </c>
      <c r="C56" s="1312"/>
      <c r="D56" s="1315">
        <f t="shared" ref="D56:AA56" si="27">D54+D55</f>
        <v>106540.209</v>
      </c>
      <c r="E56" s="1315">
        <f t="shared" si="27"/>
        <v>107798.572</v>
      </c>
      <c r="F56" s="1315">
        <f t="shared" si="27"/>
        <v>111817.05500000001</v>
      </c>
      <c r="G56" s="1315">
        <f t="shared" si="27"/>
        <v>116572.58500000001</v>
      </c>
      <c r="H56" s="1315">
        <f t="shared" si="27"/>
        <v>117892.44399999999</v>
      </c>
      <c r="I56" s="1315">
        <f t="shared" si="27"/>
        <v>124665.46699999999</v>
      </c>
      <c r="J56" s="1315">
        <f t="shared" si="27"/>
        <v>126715.1</v>
      </c>
      <c r="K56" s="1315">
        <f t="shared" si="27"/>
        <v>130668.11899999999</v>
      </c>
      <c r="L56" s="1315">
        <f t="shared" si="27"/>
        <v>132419.804</v>
      </c>
      <c r="M56" s="1315">
        <f t="shared" si="27"/>
        <v>135680.43899999998</v>
      </c>
      <c r="N56" s="1315">
        <f t="shared" si="27"/>
        <v>139695.28100000002</v>
      </c>
      <c r="O56" s="1315">
        <f t="shared" si="27"/>
        <v>141634.49400000001</v>
      </c>
      <c r="P56" s="1315">
        <f t="shared" si="27"/>
        <v>140563.65099999995</v>
      </c>
      <c r="Q56" s="1315">
        <f t="shared" si="27"/>
        <v>140943.42000000001</v>
      </c>
      <c r="R56" s="1315">
        <f t="shared" si="27"/>
        <v>142314.63700000002</v>
      </c>
      <c r="S56" s="1315">
        <f t="shared" si="27"/>
        <v>143483.06599999999</v>
      </c>
      <c r="T56" s="1315">
        <f t="shared" si="27"/>
        <v>147089.10999999999</v>
      </c>
      <c r="U56" s="1315">
        <f t="shared" si="27"/>
        <v>148684.44499999998</v>
      </c>
      <c r="V56" s="1315">
        <f t="shared" si="27"/>
        <v>149611.33499999999</v>
      </c>
      <c r="W56" s="1315">
        <f t="shared" si="27"/>
        <v>149623.26199999999</v>
      </c>
      <c r="X56" s="1315">
        <f t="shared" si="27"/>
        <v>149660.86500000002</v>
      </c>
      <c r="Y56" s="1315">
        <v>177994</v>
      </c>
      <c r="Z56" s="1315">
        <f t="shared" si="27"/>
        <v>178333.3</v>
      </c>
      <c r="AA56" s="1315">
        <f t="shared" si="27"/>
        <v>179497.38399999999</v>
      </c>
      <c r="AB56" s="1315">
        <f>AB54+AB55</f>
        <v>182440.40600000002</v>
      </c>
      <c r="AC56" s="1315">
        <f t="shared" ref="AC56:AM56" si="28">AC54+AC55</f>
        <v>185336.08900000001</v>
      </c>
      <c r="AD56" s="1315">
        <f t="shared" si="28"/>
        <v>185193.11499999999</v>
      </c>
      <c r="AE56" s="1315">
        <f t="shared" si="28"/>
        <v>190413.71699999998</v>
      </c>
      <c r="AF56" s="1315">
        <f t="shared" si="28"/>
        <v>187869.10699999999</v>
      </c>
      <c r="AG56" s="1315">
        <f t="shared" si="28"/>
        <v>191515.372</v>
      </c>
      <c r="AH56" s="1315">
        <f t="shared" si="28"/>
        <v>193174.34299999999</v>
      </c>
      <c r="AI56" s="1315">
        <f t="shared" si="28"/>
        <v>200606.2</v>
      </c>
      <c r="AJ56" s="1315">
        <f t="shared" si="28"/>
        <v>200579</v>
      </c>
      <c r="AK56" s="1315">
        <f t="shared" si="28"/>
        <v>204620</v>
      </c>
      <c r="AL56" s="1315">
        <f t="shared" si="28"/>
        <v>205809</v>
      </c>
      <c r="AM56" s="1316">
        <f t="shared" si="28"/>
        <v>205629</v>
      </c>
      <c r="AN56" s="1317"/>
      <c r="AO56" s="1317"/>
      <c r="AP56" s="1317"/>
      <c r="AQ56" s="1317"/>
      <c r="AR56" s="1317"/>
      <c r="AS56" s="1317"/>
      <c r="AT56" s="1317"/>
      <c r="AU56" s="1317"/>
      <c r="AV56" s="1317"/>
      <c r="AW56" s="1317"/>
      <c r="AX56" s="1317"/>
      <c r="AY56" s="1317"/>
      <c r="AZ56" s="1317"/>
      <c r="BA56" s="1317"/>
      <c r="BB56" s="1317"/>
      <c r="BC56" s="1317"/>
      <c r="BD56" s="1317"/>
      <c r="BE56" s="1317"/>
      <c r="BF56" s="1317"/>
      <c r="BG56" s="1317"/>
      <c r="BH56" s="1317"/>
      <c r="BI56" s="1317"/>
      <c r="BJ56" s="1317"/>
      <c r="BK56" s="1317"/>
      <c r="BL56" s="1317"/>
      <c r="BM56" s="1317"/>
      <c r="BN56" s="1317"/>
      <c r="BO56" s="1317"/>
      <c r="BP56" s="1317"/>
      <c r="BQ56" s="1317"/>
      <c r="BR56" s="1317"/>
      <c r="BS56" s="1317"/>
      <c r="BT56" s="1317"/>
      <c r="BU56" s="1317"/>
      <c r="BV56" s="1317"/>
      <c r="BW56" s="1317"/>
      <c r="BX56" s="1317"/>
      <c r="BY56" s="1317"/>
      <c r="BZ56" s="1317"/>
      <c r="CA56" s="1317"/>
      <c r="CB56" s="1317"/>
      <c r="CC56" s="1317"/>
      <c r="CD56" s="1317"/>
    </row>
    <row r="57" spans="1:82" s="1328" customFormat="1" ht="11.25">
      <c r="D57" s="1329"/>
      <c r="E57" s="1329"/>
      <c r="F57" s="1329"/>
      <c r="G57" s="1329"/>
      <c r="H57" s="1329"/>
      <c r="I57" s="1329"/>
      <c r="J57" s="1329"/>
      <c r="K57" s="1329"/>
      <c r="L57" s="1329"/>
      <c r="M57" s="1329"/>
      <c r="N57" s="1329"/>
      <c r="O57" s="1329"/>
      <c r="P57" s="1329"/>
      <c r="Q57" s="1329"/>
      <c r="R57" s="1329"/>
      <c r="S57" s="1329"/>
      <c r="T57" s="1329"/>
      <c r="U57" s="1329"/>
      <c r="V57" s="1329"/>
      <c r="W57" s="1329"/>
      <c r="X57" s="1329"/>
      <c r="Y57" s="1329"/>
      <c r="Z57" s="1329"/>
      <c r="AA57" s="1329"/>
      <c r="AB57" s="1329"/>
      <c r="AC57" s="1329"/>
      <c r="AD57" s="1329"/>
      <c r="AE57" s="1329"/>
      <c r="AF57" s="1329"/>
      <c r="AG57" s="1329"/>
      <c r="AH57" s="1329"/>
      <c r="AI57" s="1329"/>
      <c r="AJ57" s="1329"/>
      <c r="AK57" s="1329"/>
      <c r="AL57" s="1329"/>
      <c r="AM57" s="1329"/>
      <c r="AN57" s="1330"/>
      <c r="AO57" s="1330"/>
      <c r="AP57" s="1330"/>
      <c r="AQ57" s="1330"/>
      <c r="AR57" s="1330"/>
      <c r="AS57" s="1330"/>
      <c r="AT57" s="1330"/>
      <c r="AU57" s="1330"/>
      <c r="AV57" s="1330"/>
      <c r="AW57" s="1330"/>
      <c r="AX57" s="1330"/>
      <c r="AY57" s="1330"/>
      <c r="AZ57" s="1330"/>
      <c r="BA57" s="1330"/>
      <c r="BB57" s="1330"/>
      <c r="BC57" s="1330"/>
      <c r="BD57" s="1330"/>
      <c r="BE57" s="1330"/>
      <c r="BF57" s="1330"/>
      <c r="BG57" s="1330"/>
      <c r="BH57" s="1330"/>
      <c r="BI57" s="1330"/>
      <c r="BJ57" s="1330"/>
      <c r="BK57" s="1330"/>
      <c r="BL57" s="1330"/>
      <c r="BM57" s="1330"/>
      <c r="BN57" s="1330"/>
      <c r="BO57" s="1330"/>
      <c r="BP57" s="1330"/>
      <c r="BQ57" s="1330"/>
      <c r="BR57" s="1330"/>
      <c r="BS57" s="1330"/>
      <c r="BT57" s="1330"/>
      <c r="BU57" s="1330"/>
      <c r="BV57" s="1330"/>
      <c r="BW57" s="1330"/>
      <c r="BX57" s="1330"/>
      <c r="BY57" s="1330"/>
      <c r="BZ57" s="1330"/>
      <c r="CA57" s="1330"/>
      <c r="CB57" s="1330"/>
      <c r="CC57" s="1330"/>
      <c r="CD57" s="1330"/>
    </row>
    <row r="58" spans="1:82" s="1322" customFormat="1" ht="24">
      <c r="A58" s="1331" t="s">
        <v>877</v>
      </c>
      <c r="B58" s="1331" t="s">
        <v>879</v>
      </c>
      <c r="P58" s="1332">
        <f>P57-P54</f>
        <v>-146532.65099999995</v>
      </c>
      <c r="Q58" s="1332">
        <f>Q57-Q54</f>
        <v>-146960.48500000002</v>
      </c>
      <c r="R58" s="1332">
        <f>R57-R54</f>
        <v>-148789.70000000001</v>
      </c>
      <c r="AA58" s="1322">
        <f>610.748+54903.763+7203.803</f>
        <v>62718.313999999998</v>
      </c>
      <c r="AN58" s="1321"/>
      <c r="AO58" s="1321"/>
      <c r="AP58" s="1321"/>
      <c r="AQ58" s="1321"/>
      <c r="AR58" s="1321"/>
      <c r="AS58" s="1321"/>
      <c r="AT58" s="1321"/>
      <c r="AU58" s="1321"/>
      <c r="AV58" s="1321"/>
      <c r="AW58" s="1321"/>
      <c r="AX58" s="1321"/>
      <c r="AY58" s="1321"/>
      <c r="AZ58" s="1321"/>
      <c r="BA58" s="1321"/>
      <c r="BB58" s="1321"/>
      <c r="BC58" s="1321"/>
      <c r="BD58" s="1321"/>
      <c r="BE58" s="1321"/>
      <c r="BF58" s="1321"/>
      <c r="BG58" s="1321"/>
      <c r="BH58" s="1321"/>
      <c r="BI58" s="1321"/>
      <c r="BJ58" s="1321"/>
      <c r="BK58" s="1321"/>
      <c r="BL58" s="1321"/>
      <c r="BM58" s="1321"/>
      <c r="BN58" s="1321"/>
      <c r="BO58" s="1321"/>
      <c r="BP58" s="1321"/>
      <c r="BQ58" s="1321"/>
      <c r="BR58" s="1321"/>
      <c r="BS58" s="1321"/>
      <c r="BT58" s="1321"/>
      <c r="BU58" s="1321"/>
      <c r="BV58" s="1321"/>
      <c r="BW58" s="1321"/>
      <c r="BX58" s="1321"/>
      <c r="BY58" s="1321"/>
      <c r="BZ58" s="1321"/>
      <c r="CA58" s="1321"/>
      <c r="CB58" s="1321"/>
      <c r="CC58" s="1321"/>
      <c r="CD58" s="1321"/>
    </row>
    <row r="59" spans="1:82" s="172" customFormat="1"/>
    <row r="60" spans="1:82" s="172" customFormat="1"/>
    <row r="61" spans="1:82" s="172" customFormat="1"/>
    <row r="62" spans="1:82" s="172" customFormat="1"/>
    <row r="63" spans="1:82" s="172" customFormat="1"/>
    <row r="64" spans="1:82" s="172" customFormat="1"/>
    <row r="65" s="172" customFormat="1"/>
    <row r="66" s="172" customFormat="1"/>
    <row r="67" s="172" customFormat="1"/>
    <row r="68" s="172" customFormat="1"/>
    <row r="69" s="172" customFormat="1"/>
    <row r="70" s="172" customFormat="1"/>
    <row r="71" s="172" customFormat="1"/>
    <row r="72" s="172" customFormat="1"/>
    <row r="73" s="172" customFormat="1"/>
    <row r="74" s="172" customFormat="1"/>
    <row r="75" s="172" customFormat="1"/>
    <row r="76" s="172" customFormat="1"/>
    <row r="77" s="172" customFormat="1"/>
    <row r="78" s="172" customFormat="1"/>
    <row r="79" s="172" customFormat="1"/>
    <row r="80" s="172" customFormat="1"/>
    <row r="81" s="172" customFormat="1"/>
    <row r="82" s="172" customFormat="1"/>
    <row r="83" s="172" customFormat="1"/>
    <row r="84" s="172" customFormat="1"/>
    <row r="85" s="172" customFormat="1"/>
    <row r="86" s="172" customFormat="1"/>
    <row r="87" s="172" customFormat="1"/>
    <row r="88" s="172" customFormat="1"/>
    <row r="89" s="172" customFormat="1"/>
    <row r="90" s="172" customFormat="1"/>
    <row r="91" s="172" customFormat="1"/>
    <row r="92" s="172" customFormat="1"/>
    <row r="93" s="172" customFormat="1"/>
    <row r="94" s="172" customFormat="1"/>
    <row r="95" s="172" customFormat="1"/>
    <row r="96" s="172" customFormat="1"/>
    <row r="97" s="172" customFormat="1"/>
    <row r="98" s="172" customFormat="1"/>
    <row r="99" s="172" customFormat="1"/>
    <row r="100" s="172" customFormat="1"/>
    <row r="101" s="172" customFormat="1"/>
    <row r="102" s="172" customFormat="1"/>
    <row r="103" s="172" customFormat="1"/>
    <row r="104" s="172" customFormat="1"/>
    <row r="105" s="172" customFormat="1"/>
    <row r="106" s="172" customFormat="1"/>
    <row r="107" s="172" customFormat="1"/>
    <row r="108" s="172" customFormat="1"/>
    <row r="109" s="172" customFormat="1"/>
    <row r="110" s="172" customFormat="1"/>
    <row r="111" s="172" customFormat="1"/>
    <row r="112" s="172" customFormat="1"/>
    <row r="113" s="172" customFormat="1"/>
    <row r="114" s="172" customFormat="1"/>
    <row r="115" s="172" customFormat="1"/>
    <row r="116" s="172" customFormat="1"/>
    <row r="117" s="172" customFormat="1"/>
    <row r="118" s="172" customFormat="1"/>
    <row r="119" s="172" customFormat="1"/>
    <row r="120" s="172" customFormat="1"/>
    <row r="121" s="172" customFormat="1"/>
    <row r="122" s="172" customFormat="1"/>
    <row r="123" s="172" customFormat="1"/>
    <row r="124" s="172" customFormat="1"/>
    <row r="125" s="172" customFormat="1"/>
    <row r="126" s="172" customFormat="1"/>
    <row r="127" s="172" customFormat="1"/>
    <row r="128" s="172" customFormat="1"/>
    <row r="129" s="172" customFormat="1"/>
    <row r="130" s="172" customFormat="1"/>
    <row r="131" s="172" customFormat="1"/>
    <row r="132" s="172" customFormat="1"/>
    <row r="133" s="172" customFormat="1"/>
    <row r="134" s="172" customFormat="1"/>
    <row r="135" s="172" customFormat="1"/>
    <row r="136" s="172" customFormat="1"/>
    <row r="137" s="172" customFormat="1"/>
    <row r="138" s="172" customFormat="1"/>
    <row r="139" s="172" customFormat="1"/>
    <row r="140" s="172" customFormat="1"/>
    <row r="141" s="172" customFormat="1"/>
    <row r="142" s="172" customFormat="1"/>
    <row r="143" s="172" customFormat="1"/>
    <row r="144" s="172" customFormat="1"/>
    <row r="145" s="172" customFormat="1"/>
    <row r="146" s="172" customFormat="1"/>
    <row r="147" s="172" customFormat="1"/>
    <row r="148" s="172" customFormat="1"/>
    <row r="149" s="172" customFormat="1"/>
    <row r="150" s="172" customFormat="1"/>
    <row r="151" s="172" customFormat="1"/>
    <row r="152" s="172" customFormat="1"/>
    <row r="153" s="172" customFormat="1"/>
    <row r="154" s="172" customFormat="1"/>
    <row r="155" s="172" customFormat="1"/>
    <row r="156" s="172" customFormat="1"/>
    <row r="157" s="172" customFormat="1"/>
    <row r="158" s="172" customFormat="1"/>
    <row r="159" s="172" customFormat="1"/>
    <row r="160" s="172" customFormat="1"/>
    <row r="161" s="172" customFormat="1"/>
    <row r="162" s="172" customFormat="1"/>
    <row r="163" s="172" customFormat="1"/>
    <row r="164" s="172" customFormat="1"/>
    <row r="165" s="172" customFormat="1"/>
    <row r="166" s="172" customFormat="1"/>
    <row r="167" s="172" customFormat="1"/>
    <row r="168" s="172" customFormat="1"/>
    <row r="169" s="172" customFormat="1"/>
    <row r="170" s="172" customFormat="1"/>
    <row r="171" s="172" customFormat="1"/>
    <row r="172" s="172" customFormat="1"/>
    <row r="173" s="172" customFormat="1"/>
    <row r="174" s="172" customFormat="1"/>
    <row r="175" s="172" customFormat="1"/>
    <row r="176" s="172" customFormat="1"/>
    <row r="177" s="172" customFormat="1"/>
    <row r="178" s="172" customFormat="1"/>
    <row r="179" s="172" customFormat="1"/>
    <row r="180" s="172" customFormat="1"/>
    <row r="181" s="172" customFormat="1"/>
    <row r="182" s="172" customFormat="1"/>
    <row r="183" s="172" customFormat="1"/>
    <row r="184" s="172" customFormat="1"/>
    <row r="185" s="172" customFormat="1"/>
    <row r="186" s="172" customFormat="1"/>
    <row r="187" s="172" customFormat="1"/>
    <row r="188" s="172" customFormat="1"/>
    <row r="189" s="172" customFormat="1"/>
    <row r="190" s="172" customFormat="1"/>
    <row r="191" s="172" customFormat="1"/>
    <row r="192" s="172" customFormat="1"/>
    <row r="193" s="172" customFormat="1"/>
    <row r="194" s="172" customFormat="1"/>
    <row r="195" s="172" customFormat="1"/>
    <row r="196" s="172" customFormat="1"/>
    <row r="197" s="172" customFormat="1"/>
    <row r="198" s="172" customFormat="1"/>
    <row r="199" s="172" customFormat="1"/>
    <row r="200" s="172" customFormat="1"/>
    <row r="201" s="172" customFormat="1"/>
    <row r="202" s="172" customFormat="1"/>
    <row r="203" s="172" customFormat="1"/>
    <row r="204" s="172" customFormat="1"/>
    <row r="205" s="172" customFormat="1"/>
    <row r="206" s="172" customFormat="1"/>
    <row r="207" s="172" customFormat="1"/>
    <row r="208" s="172" customFormat="1"/>
    <row r="209" s="172" customFormat="1"/>
    <row r="210" s="172" customFormat="1"/>
    <row r="211" s="172" customFormat="1"/>
    <row r="212" s="172" customFormat="1"/>
    <row r="213" s="172" customFormat="1"/>
    <row r="214" s="172" customFormat="1"/>
    <row r="215" s="172" customFormat="1"/>
    <row r="216" s="172" customFormat="1"/>
    <row r="217" s="172" customFormat="1"/>
    <row r="218" s="172" customFormat="1"/>
    <row r="219" s="172" customFormat="1"/>
    <row r="220" s="172" customFormat="1"/>
    <row r="221" s="172" customFormat="1"/>
    <row r="222" s="172" customFormat="1"/>
    <row r="223" s="172" customFormat="1"/>
    <row r="224" s="172" customFormat="1"/>
    <row r="225" s="172" customFormat="1"/>
    <row r="226" s="172" customFormat="1"/>
    <row r="227" s="172" customFormat="1"/>
    <row r="228" s="172" customFormat="1"/>
    <row r="229" s="172" customFormat="1"/>
    <row r="230" s="172" customFormat="1"/>
    <row r="231" s="172" customFormat="1"/>
    <row r="232" s="172" customFormat="1"/>
    <row r="233" s="172" customFormat="1"/>
    <row r="234" s="172" customFormat="1"/>
    <row r="235" s="172" customFormat="1"/>
    <row r="236" s="172" customFormat="1"/>
    <row r="237" s="172" customFormat="1"/>
    <row r="238" s="172" customFormat="1"/>
    <row r="239" s="172" customFormat="1"/>
    <row r="240" s="172" customFormat="1"/>
    <row r="241" s="172" customFormat="1"/>
    <row r="242" s="172" customFormat="1"/>
    <row r="243" s="172" customFormat="1"/>
    <row r="244" s="172" customFormat="1"/>
    <row r="245" s="172" customFormat="1"/>
    <row r="246" s="172" customFormat="1"/>
    <row r="247" s="172" customFormat="1"/>
    <row r="248" s="172" customFormat="1"/>
    <row r="249" s="172" customFormat="1"/>
    <row r="250" s="172" customFormat="1"/>
    <row r="251" s="172" customFormat="1"/>
    <row r="252" s="172" customFormat="1"/>
    <row r="253" s="172" customFormat="1"/>
    <row r="254" s="172" customFormat="1"/>
    <row r="255" s="172" customFormat="1"/>
    <row r="256" s="172" customFormat="1"/>
    <row r="257" s="172" customFormat="1"/>
    <row r="258" s="172" customFormat="1"/>
    <row r="259" s="172" customFormat="1"/>
    <row r="260" s="172" customFormat="1"/>
    <row r="261" s="172" customFormat="1"/>
    <row r="262" s="172" customFormat="1"/>
    <row r="263" s="172" customFormat="1"/>
    <row r="264" s="172" customFormat="1"/>
    <row r="265" s="172" customFormat="1"/>
    <row r="266" s="172" customFormat="1"/>
    <row r="267" s="172" customFormat="1"/>
    <row r="268" s="172" customFormat="1"/>
    <row r="269" s="172" customFormat="1"/>
    <row r="270" s="172" customFormat="1"/>
    <row r="271" s="172" customFormat="1"/>
    <row r="272" s="172" customFormat="1"/>
    <row r="273" s="172" customFormat="1"/>
    <row r="274" s="172" customFormat="1"/>
    <row r="275" s="172" customFormat="1"/>
    <row r="276" s="172" customFormat="1"/>
    <row r="277" s="172" customFormat="1"/>
    <row r="278" s="172" customFormat="1"/>
    <row r="279" s="172" customFormat="1"/>
    <row r="280" s="172" customFormat="1"/>
    <row r="281" s="172" customFormat="1"/>
    <row r="282" s="172" customFormat="1"/>
    <row r="283" s="172" customFormat="1"/>
    <row r="284" s="172" customFormat="1"/>
    <row r="285" s="172" customFormat="1"/>
    <row r="286" s="172" customFormat="1"/>
    <row r="287" s="172" customFormat="1"/>
    <row r="288" s="172" customFormat="1"/>
    <row r="289" s="172" customFormat="1"/>
    <row r="290" s="172" customFormat="1"/>
    <row r="291" s="172" customFormat="1"/>
    <row r="292" s="172" customFormat="1"/>
    <row r="293" s="172" customFormat="1"/>
    <row r="294" s="172" customFormat="1"/>
    <row r="295" s="172" customFormat="1"/>
    <row r="296" s="172" customFormat="1"/>
    <row r="297" s="172" customFormat="1"/>
    <row r="298" s="172" customFormat="1"/>
    <row r="299" s="172" customFormat="1"/>
    <row r="300" s="172" customFormat="1"/>
    <row r="301" s="172" customFormat="1"/>
    <row r="302" s="172" customFormat="1"/>
    <row r="303" s="172" customFormat="1"/>
    <row r="304" s="172" customFormat="1"/>
    <row r="305" s="172" customFormat="1"/>
    <row r="306" s="172" customFormat="1"/>
    <row r="307" s="172" customFormat="1"/>
    <row r="308" s="172" customFormat="1"/>
    <row r="309" s="172" customFormat="1"/>
    <row r="310" s="172" customFormat="1"/>
    <row r="311" s="172" customFormat="1"/>
    <row r="312" s="172" customFormat="1"/>
    <row r="313" s="172" customFormat="1"/>
    <row r="314" s="172" customFormat="1"/>
    <row r="315" s="172" customFormat="1"/>
    <row r="316" s="172" customFormat="1"/>
    <row r="317" s="172" customFormat="1"/>
    <row r="318" s="172" customFormat="1"/>
    <row r="319" s="172" customFormat="1"/>
    <row r="320" s="172" customFormat="1"/>
    <row r="321" s="172" customFormat="1"/>
    <row r="322" s="172" customFormat="1"/>
    <row r="323" s="172" customFormat="1"/>
    <row r="324" s="172" customFormat="1"/>
    <row r="325" s="172" customFormat="1"/>
    <row r="326" s="172" customFormat="1"/>
    <row r="327" s="172" customFormat="1"/>
    <row r="328" s="172" customFormat="1"/>
    <row r="329" s="172" customFormat="1"/>
    <row r="330" s="172" customFormat="1"/>
    <row r="331" s="172" customFormat="1"/>
    <row r="332" s="172" customFormat="1"/>
    <row r="333" s="172" customFormat="1"/>
    <row r="334" s="172" customFormat="1"/>
    <row r="335" s="172" customFormat="1"/>
    <row r="336" s="172" customFormat="1"/>
    <row r="337" s="172" customFormat="1"/>
    <row r="338" s="172" customFormat="1"/>
    <row r="339" s="172" customFormat="1"/>
    <row r="340" s="172" customFormat="1"/>
    <row r="341" s="172" customFormat="1"/>
    <row r="342" s="172" customFormat="1"/>
    <row r="343" s="172" customFormat="1"/>
    <row r="344" s="172" customFormat="1"/>
    <row r="345" s="172" customFormat="1"/>
    <row r="346" s="172" customFormat="1"/>
    <row r="347" s="172" customFormat="1"/>
    <row r="348" s="172" customFormat="1"/>
    <row r="349" s="172" customFormat="1"/>
    <row r="350" s="172" customFormat="1"/>
    <row r="351" s="172" customFormat="1"/>
    <row r="352" s="172" customFormat="1"/>
    <row r="353" s="172" customFormat="1"/>
    <row r="354" s="172" customFormat="1"/>
    <row r="355" s="172" customFormat="1"/>
    <row r="356" s="172" customFormat="1"/>
    <row r="357" s="172" customFormat="1"/>
    <row r="358" s="172" customFormat="1"/>
    <row r="359" s="172" customFormat="1"/>
    <row r="360" s="172" customFormat="1"/>
    <row r="361" s="172" customFormat="1"/>
    <row r="362" s="172" customFormat="1"/>
    <row r="363" s="172" customFormat="1"/>
    <row r="364" s="172" customFormat="1"/>
    <row r="365" s="172" customFormat="1"/>
    <row r="366" s="172" customFormat="1"/>
    <row r="367" s="172" customFormat="1"/>
    <row r="368" s="172" customFormat="1"/>
    <row r="369" s="172" customFormat="1"/>
    <row r="370" s="172" customFormat="1"/>
    <row r="371" s="172" customFormat="1"/>
    <row r="372" s="172" customFormat="1"/>
    <row r="373" s="172" customFormat="1"/>
    <row r="374" s="172" customFormat="1"/>
    <row r="375" s="172" customFormat="1"/>
    <row r="376" s="172" customFormat="1"/>
    <row r="377" s="172" customFormat="1"/>
    <row r="378" s="172" customFormat="1"/>
    <row r="379" s="172" customFormat="1"/>
    <row r="380" s="172" customFormat="1"/>
    <row r="381" s="172" customFormat="1"/>
    <row r="382" s="172" customFormat="1"/>
    <row r="383" s="172" customFormat="1"/>
    <row r="384" s="172" customFormat="1"/>
    <row r="385" s="172" customFormat="1"/>
    <row r="386" s="172" customFormat="1"/>
    <row r="387" s="172" customFormat="1"/>
    <row r="388" s="172" customFormat="1"/>
    <row r="389" s="172" customFormat="1"/>
    <row r="390" s="172" customFormat="1"/>
    <row r="391" s="172" customFormat="1"/>
    <row r="392" s="172" customFormat="1"/>
    <row r="393" s="172" customFormat="1"/>
    <row r="394" s="172" customFormat="1"/>
    <row r="395" s="172" customFormat="1"/>
    <row r="396" s="172" customFormat="1"/>
    <row r="397" s="172" customFormat="1"/>
    <row r="398" s="172" customFormat="1"/>
    <row r="399" s="172" customFormat="1"/>
    <row r="400" s="172" customFormat="1"/>
    <row r="401" s="172" customFormat="1"/>
    <row r="402" s="172" customFormat="1"/>
    <row r="403" s="172" customFormat="1"/>
    <row r="404" s="172" customFormat="1"/>
    <row r="405" s="172" customFormat="1"/>
    <row r="406" s="172" customFormat="1"/>
    <row r="407" s="172" customFormat="1"/>
    <row r="408" s="172" customFormat="1"/>
    <row r="409" s="172" customFormat="1"/>
    <row r="410" s="172" customFormat="1"/>
    <row r="411" s="172" customFormat="1"/>
    <row r="412" s="172" customFormat="1"/>
    <row r="413" s="172" customFormat="1"/>
    <row r="414" s="172" customFormat="1"/>
    <row r="415" s="172" customFormat="1"/>
    <row r="416" s="172" customFormat="1"/>
    <row r="417" s="172" customFormat="1"/>
    <row r="418" s="172" customFormat="1"/>
    <row r="419" s="172" customFormat="1"/>
    <row r="420" s="172" customFormat="1"/>
    <row r="421" s="172" customFormat="1"/>
    <row r="422" s="172" customFormat="1"/>
    <row r="423" s="172" customFormat="1"/>
    <row r="424" s="172" customFormat="1"/>
    <row r="425" s="172" customFormat="1"/>
    <row r="426" s="172" customFormat="1"/>
    <row r="427" s="172" customFormat="1"/>
    <row r="428" s="172" customFormat="1"/>
    <row r="429" s="172" customFormat="1"/>
    <row r="430" s="172" customFormat="1"/>
    <row r="431" s="172" customFormat="1"/>
    <row r="432" s="172" customFormat="1"/>
    <row r="433" s="172" customFormat="1"/>
    <row r="434" s="172" customFormat="1"/>
    <row r="435" s="172" customFormat="1"/>
    <row r="436" s="172" customFormat="1"/>
    <row r="437" s="172" customFormat="1"/>
    <row r="438" s="172" customFormat="1"/>
    <row r="439" s="172" customFormat="1"/>
    <row r="440" s="172" customFormat="1"/>
    <row r="441" s="172" customFormat="1"/>
    <row r="442" s="172" customFormat="1"/>
    <row r="443" s="172" customFormat="1"/>
    <row r="444" s="172" customFormat="1"/>
    <row r="445" s="172" customFormat="1"/>
    <row r="446" s="172" customFormat="1"/>
    <row r="447" s="172" customFormat="1"/>
    <row r="448" s="172" customFormat="1"/>
    <row r="449" s="172" customFormat="1"/>
    <row r="450" s="172" customFormat="1"/>
    <row r="451" s="172" customFormat="1"/>
    <row r="452" s="172" customFormat="1"/>
    <row r="453" s="172" customFormat="1"/>
    <row r="454" s="172" customFormat="1"/>
    <row r="455" s="172" customFormat="1"/>
    <row r="456" s="172" customFormat="1"/>
    <row r="457" s="172" customFormat="1"/>
    <row r="458" s="172" customFormat="1"/>
    <row r="459" s="172" customFormat="1"/>
    <row r="460" s="172" customFormat="1"/>
    <row r="461" s="172" customFormat="1"/>
    <row r="462" s="172" customFormat="1"/>
    <row r="463" s="172" customFormat="1"/>
    <row r="464" s="172" customFormat="1"/>
    <row r="465" s="172" customFormat="1"/>
    <row r="466" s="172" customFormat="1"/>
    <row r="467" s="172" customFormat="1"/>
    <row r="468" s="172" customFormat="1"/>
    <row r="469" s="172" customFormat="1"/>
    <row r="470" s="172" customFormat="1"/>
    <row r="471" s="172" customFormat="1"/>
    <row r="472" s="172" customFormat="1"/>
    <row r="473" s="172" customFormat="1"/>
    <row r="474" s="172" customFormat="1"/>
    <row r="475" s="172" customFormat="1"/>
    <row r="476" s="172" customFormat="1"/>
    <row r="477" s="172" customFormat="1"/>
    <row r="478" s="172" customFormat="1"/>
  </sheetData>
  <hyperlinks>
    <hyperlink ref="AM1" location="'Spis treści_Contents'!A1" display="spis treści"/>
    <hyperlink ref="AM2" location="'Spis treści_Contents'!A1" display="contents"/>
  </hyperlinks>
  <pageMargins left="0.70866141732283472" right="0.70866141732283472" top="0.74803149606299213" bottom="0.74803149606299213" header="0.31496062992125984" footer="0.31496062992125984"/>
  <pageSetup paperSize="9" scale="4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B268"/>
  <sheetViews>
    <sheetView view="pageBreakPreview" zoomScaleNormal="100" zoomScaleSheetLayoutView="100" workbookViewId="0">
      <pane xSplit="1" topLeftCell="B1" activePane="topRight" state="frozen"/>
      <selection pane="topRight" sqref="A1:A1048576"/>
    </sheetView>
  </sheetViews>
  <sheetFormatPr defaultColWidth="8.7109375" defaultRowHeight="13.5"/>
  <cols>
    <col min="1" max="2" width="50" style="11" customWidth="1"/>
    <col min="3" max="27" width="15.7109375" style="11" hidden="1" customWidth="1"/>
    <col min="28" max="29" width="15.7109375" style="19" hidden="1" customWidth="1"/>
    <col min="30" max="32" width="15.7109375" style="11" hidden="1" customWidth="1"/>
    <col min="33" max="37" width="15.7109375" style="19" hidden="1" customWidth="1"/>
    <col min="38" max="38" width="3" style="19" hidden="1" customWidth="1"/>
    <col min="39" max="43" width="15.7109375" style="19" customWidth="1"/>
    <col min="44" max="80" width="8.7109375" style="145"/>
    <col min="81" max="16384" width="8.7109375" style="19"/>
  </cols>
  <sheetData>
    <row r="1" spans="1:80" ht="20.25" customHeight="1">
      <c r="A1" s="17" t="s">
        <v>784</v>
      </c>
      <c r="B1" s="17" t="s">
        <v>861</v>
      </c>
      <c r="C1" s="8"/>
      <c r="D1" s="8"/>
      <c r="E1" s="8"/>
      <c r="F1" s="10"/>
      <c r="G1" s="10"/>
      <c r="H1" s="10"/>
      <c r="I1" s="10"/>
      <c r="J1" s="10"/>
      <c r="K1" s="10"/>
      <c r="L1" s="10"/>
      <c r="M1" s="10"/>
      <c r="N1" s="10"/>
      <c r="O1" s="391"/>
      <c r="P1" s="391"/>
      <c r="Q1" s="391"/>
      <c r="R1" s="391"/>
      <c r="S1" s="391"/>
      <c r="T1" s="391"/>
      <c r="U1" s="391"/>
      <c r="V1" s="391"/>
      <c r="W1" s="391"/>
      <c r="X1" s="10"/>
      <c r="Y1" s="10"/>
      <c r="Z1" s="10"/>
      <c r="AA1" s="10"/>
      <c r="AB1" s="5"/>
      <c r="AC1" s="5"/>
      <c r="AD1" s="10"/>
      <c r="AE1" s="10"/>
      <c r="AF1" s="10"/>
      <c r="AG1" s="5"/>
      <c r="AH1" s="5"/>
      <c r="AI1" s="5"/>
      <c r="AJ1" s="5"/>
      <c r="AK1" s="5"/>
      <c r="AL1" s="5"/>
      <c r="AM1" s="5"/>
      <c r="AN1" s="5"/>
      <c r="AO1" s="5"/>
      <c r="AP1" s="5"/>
      <c r="AQ1" s="392" t="s">
        <v>800</v>
      </c>
    </row>
    <row r="2" spans="1:80" ht="14.25" thickBot="1">
      <c r="A2" s="406"/>
      <c r="B2" s="406"/>
      <c r="C2" s="408"/>
      <c r="D2" s="408"/>
      <c r="E2" s="408"/>
      <c r="F2" s="408"/>
      <c r="G2" s="408"/>
      <c r="H2" s="408"/>
      <c r="I2" s="408"/>
      <c r="J2" s="408"/>
      <c r="K2" s="408"/>
      <c r="L2" s="408"/>
      <c r="M2" s="408"/>
      <c r="N2" s="408"/>
      <c r="O2" s="391"/>
      <c r="P2" s="391"/>
      <c r="Q2" s="391"/>
      <c r="R2" s="391"/>
      <c r="S2" s="391"/>
      <c r="T2" s="391"/>
      <c r="U2" s="391"/>
      <c r="V2" s="391"/>
      <c r="W2" s="391"/>
      <c r="X2" s="10"/>
      <c r="Y2" s="10"/>
      <c r="Z2" s="10"/>
      <c r="AA2" s="10"/>
      <c r="AB2" s="5"/>
      <c r="AC2" s="5"/>
      <c r="AD2" s="10"/>
      <c r="AE2" s="10"/>
      <c r="AF2" s="10"/>
      <c r="AG2" s="5"/>
      <c r="AH2" s="5"/>
      <c r="AI2" s="5"/>
      <c r="AJ2" s="5"/>
      <c r="AK2" s="5"/>
      <c r="AL2" s="5"/>
      <c r="AM2" s="5"/>
      <c r="AN2" s="5"/>
      <c r="AO2" s="5"/>
      <c r="AP2" s="5"/>
      <c r="AQ2" s="392" t="s">
        <v>801</v>
      </c>
    </row>
    <row r="3" spans="1:80" s="48" customFormat="1" ht="19.5" customHeight="1" thickBot="1">
      <c r="A3" s="343" t="s">
        <v>365</v>
      </c>
      <c r="B3" s="305" t="s">
        <v>182</v>
      </c>
      <c r="C3" s="305" t="s">
        <v>304</v>
      </c>
      <c r="D3" s="305" t="s">
        <v>303</v>
      </c>
      <c r="E3" s="305" t="s">
        <v>302</v>
      </c>
      <c r="F3" s="305" t="s">
        <v>301</v>
      </c>
      <c r="G3" s="305" t="s">
        <v>297</v>
      </c>
      <c r="H3" s="305" t="s">
        <v>298</v>
      </c>
      <c r="I3" s="305" t="s">
        <v>299</v>
      </c>
      <c r="J3" s="305" t="s">
        <v>300</v>
      </c>
      <c r="K3" s="305" t="s">
        <v>296</v>
      </c>
      <c r="L3" s="305" t="s">
        <v>295</v>
      </c>
      <c r="M3" s="305" t="s">
        <v>294</v>
      </c>
      <c r="N3" s="305" t="s">
        <v>293</v>
      </c>
      <c r="O3" s="305" t="s">
        <v>292</v>
      </c>
      <c r="P3" s="305" t="s">
        <v>291</v>
      </c>
      <c r="Q3" s="305" t="s">
        <v>290</v>
      </c>
      <c r="R3" s="305" t="s">
        <v>289</v>
      </c>
      <c r="S3" s="305" t="s">
        <v>288</v>
      </c>
      <c r="T3" s="305" t="s">
        <v>287</v>
      </c>
      <c r="U3" s="305" t="s">
        <v>286</v>
      </c>
      <c r="V3" s="305" t="s">
        <v>285</v>
      </c>
      <c r="W3" s="305" t="s">
        <v>281</v>
      </c>
      <c r="X3" s="305" t="s">
        <v>282</v>
      </c>
      <c r="Y3" s="305" t="s">
        <v>283</v>
      </c>
      <c r="Z3" s="305" t="s">
        <v>284</v>
      </c>
      <c r="AA3" s="305" t="s">
        <v>277</v>
      </c>
      <c r="AB3" s="305" t="s">
        <v>278</v>
      </c>
      <c r="AC3" s="305" t="s">
        <v>279</v>
      </c>
      <c r="AD3" s="305" t="s">
        <v>280</v>
      </c>
      <c r="AE3" s="305" t="s">
        <v>274</v>
      </c>
      <c r="AF3" s="305" t="s">
        <v>275</v>
      </c>
      <c r="AG3" s="305" t="s">
        <v>276</v>
      </c>
      <c r="AH3" s="305" t="s">
        <v>256</v>
      </c>
      <c r="AI3" s="305" t="s">
        <v>273</v>
      </c>
      <c r="AJ3" s="305" t="s">
        <v>272</v>
      </c>
      <c r="AK3" s="305" t="s">
        <v>255</v>
      </c>
      <c r="AL3" s="305"/>
      <c r="AM3" s="305" t="s">
        <v>271</v>
      </c>
      <c r="AN3" s="305" t="s">
        <v>270</v>
      </c>
      <c r="AO3" s="305" t="s">
        <v>269</v>
      </c>
      <c r="AP3" s="305" t="s">
        <v>268</v>
      </c>
      <c r="AQ3" s="659" t="s">
        <v>565</v>
      </c>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row>
    <row r="4" spans="1:80" s="48" customFormat="1" ht="15">
      <c r="A4" s="1016" t="s">
        <v>313</v>
      </c>
      <c r="B4" s="1017" t="s">
        <v>354</v>
      </c>
      <c r="C4" s="1018"/>
      <c r="D4" s="1018"/>
      <c r="E4" s="1018"/>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20"/>
      <c r="AI4" s="1019"/>
      <c r="AJ4" s="1021"/>
      <c r="AK4" s="1022"/>
      <c r="AL4" s="1022"/>
      <c r="AM4" s="1023">
        <v>0</v>
      </c>
      <c r="AN4" s="1023">
        <v>0</v>
      </c>
      <c r="AO4" s="1023">
        <v>0</v>
      </c>
      <c r="AP4" s="1023">
        <v>34</v>
      </c>
      <c r="AQ4" s="1024">
        <v>0</v>
      </c>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row>
    <row r="5" spans="1:80" ht="27">
      <c r="A5" s="995" t="s">
        <v>735</v>
      </c>
      <c r="B5" s="363" t="s">
        <v>734</v>
      </c>
      <c r="C5" s="363"/>
      <c r="D5" s="363"/>
      <c r="E5" s="363"/>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661"/>
      <c r="AI5" s="411"/>
      <c r="AJ5" s="662"/>
      <c r="AK5" s="663"/>
      <c r="AL5" s="663"/>
      <c r="AM5" s="432">
        <v>0</v>
      </c>
      <c r="AN5" s="432">
        <v>0</v>
      </c>
      <c r="AO5" s="432">
        <v>0</v>
      </c>
      <c r="AP5" s="412">
        <v>34</v>
      </c>
      <c r="AQ5" s="664">
        <v>0</v>
      </c>
    </row>
    <row r="6" spans="1:80" s="24" customFormat="1" ht="27" hidden="1">
      <c r="A6" s="441" t="s">
        <v>314</v>
      </c>
      <c r="B6" s="996"/>
      <c r="C6" s="370"/>
      <c r="D6" s="370"/>
      <c r="E6" s="370"/>
      <c r="F6" s="370"/>
      <c r="G6" s="370"/>
      <c r="H6" s="370"/>
      <c r="I6" s="370"/>
      <c r="J6" s="370"/>
      <c r="K6" s="370"/>
      <c r="L6" s="370"/>
      <c r="M6" s="370"/>
      <c r="N6" s="370"/>
      <c r="O6" s="370"/>
      <c r="P6" s="370"/>
      <c r="Q6" s="370"/>
      <c r="R6" s="411"/>
      <c r="S6" s="411"/>
      <c r="T6" s="411"/>
      <c r="U6" s="411"/>
      <c r="V6" s="370"/>
      <c r="W6" s="370"/>
      <c r="X6" s="370"/>
      <c r="Y6" s="370"/>
      <c r="Z6" s="370"/>
      <c r="AA6" s="370"/>
      <c r="AB6" s="997"/>
      <c r="AC6" s="997"/>
      <c r="AD6" s="370"/>
      <c r="AE6" s="370"/>
      <c r="AF6" s="370"/>
      <c r="AG6" s="997"/>
      <c r="AH6" s="997"/>
      <c r="AI6" s="997"/>
      <c r="AJ6" s="997"/>
      <c r="AK6" s="997"/>
      <c r="AL6" s="997"/>
      <c r="AM6" s="998"/>
      <c r="AN6" s="436"/>
      <c r="AO6" s="997"/>
      <c r="AP6" s="436">
        <v>0</v>
      </c>
      <c r="AQ6" s="647"/>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row>
    <row r="7" spans="1:80" s="24" customFormat="1" hidden="1">
      <c r="A7" s="999" t="s">
        <v>315</v>
      </c>
      <c r="B7" s="997"/>
      <c r="C7" s="370"/>
      <c r="D7" s="370"/>
      <c r="E7" s="370"/>
      <c r="F7" s="411"/>
      <c r="G7" s="411"/>
      <c r="H7" s="411"/>
      <c r="I7" s="411"/>
      <c r="J7" s="411"/>
      <c r="K7" s="411"/>
      <c r="L7" s="411"/>
      <c r="M7" s="411"/>
      <c r="N7" s="411"/>
      <c r="O7" s="411"/>
      <c r="P7" s="411"/>
      <c r="Q7" s="411"/>
      <c r="R7" s="411"/>
      <c r="S7" s="411"/>
      <c r="T7" s="411"/>
      <c r="U7" s="411"/>
      <c r="V7" s="370"/>
      <c r="W7" s="370"/>
      <c r="X7" s="370"/>
      <c r="Y7" s="370"/>
      <c r="Z7" s="370"/>
      <c r="AA7" s="370"/>
      <c r="AB7" s="997"/>
      <c r="AC7" s="997"/>
      <c r="AD7" s="370"/>
      <c r="AE7" s="370"/>
      <c r="AF7" s="370"/>
      <c r="AG7" s="997"/>
      <c r="AH7" s="997"/>
      <c r="AI7" s="997"/>
      <c r="AJ7" s="997"/>
      <c r="AK7" s="997"/>
      <c r="AL7" s="997"/>
      <c r="AM7" s="998"/>
      <c r="AN7" s="436"/>
      <c r="AO7" s="997"/>
      <c r="AP7" s="436">
        <v>0</v>
      </c>
      <c r="AQ7" s="647"/>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row>
    <row r="8" spans="1:80" s="24" customFormat="1" hidden="1">
      <c r="A8" s="995" t="s">
        <v>316</v>
      </c>
      <c r="B8" s="1000"/>
      <c r="C8" s="370"/>
      <c r="D8" s="370"/>
      <c r="E8" s="370"/>
      <c r="F8" s="370"/>
      <c r="G8" s="370"/>
      <c r="H8" s="370"/>
      <c r="I8" s="370"/>
      <c r="J8" s="370"/>
      <c r="K8" s="370"/>
      <c r="L8" s="370"/>
      <c r="M8" s="370"/>
      <c r="N8" s="370"/>
      <c r="O8" s="370"/>
      <c r="P8" s="370"/>
      <c r="Q8" s="370"/>
      <c r="R8" s="411"/>
      <c r="S8" s="411"/>
      <c r="T8" s="411"/>
      <c r="U8" s="411"/>
      <c r="V8" s="370"/>
      <c r="W8" s="370"/>
      <c r="X8" s="370"/>
      <c r="Y8" s="370"/>
      <c r="Z8" s="370"/>
      <c r="AA8" s="370"/>
      <c r="AB8" s="997"/>
      <c r="AC8" s="997"/>
      <c r="AD8" s="370"/>
      <c r="AE8" s="370"/>
      <c r="AF8" s="370"/>
      <c r="AG8" s="997"/>
      <c r="AH8" s="997"/>
      <c r="AI8" s="997"/>
      <c r="AJ8" s="997"/>
      <c r="AK8" s="997"/>
      <c r="AL8" s="997"/>
      <c r="AM8" s="998"/>
      <c r="AN8" s="436"/>
      <c r="AO8" s="997"/>
      <c r="AP8" s="436">
        <v>0</v>
      </c>
      <c r="AQ8" s="647"/>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s="24" customFormat="1" hidden="1">
      <c r="A9" s="995" t="s">
        <v>317</v>
      </c>
      <c r="B9" s="1000"/>
      <c r="C9" s="370"/>
      <c r="D9" s="370"/>
      <c r="E9" s="370"/>
      <c r="F9" s="370"/>
      <c r="G9" s="370"/>
      <c r="H9" s="370"/>
      <c r="I9" s="370"/>
      <c r="J9" s="370"/>
      <c r="K9" s="370"/>
      <c r="L9" s="370"/>
      <c r="M9" s="370"/>
      <c r="N9" s="370"/>
      <c r="O9" s="370"/>
      <c r="P9" s="370"/>
      <c r="Q9" s="370"/>
      <c r="R9" s="424"/>
      <c r="S9" s="424"/>
      <c r="T9" s="424"/>
      <c r="U9" s="424"/>
      <c r="V9" s="370"/>
      <c r="W9" s="370"/>
      <c r="X9" s="370"/>
      <c r="Y9" s="370"/>
      <c r="Z9" s="370"/>
      <c r="AA9" s="370"/>
      <c r="AB9" s="997"/>
      <c r="AC9" s="997"/>
      <c r="AD9" s="370"/>
      <c r="AE9" s="370"/>
      <c r="AF9" s="370"/>
      <c r="AG9" s="997"/>
      <c r="AH9" s="997"/>
      <c r="AI9" s="997"/>
      <c r="AJ9" s="997"/>
      <c r="AK9" s="997"/>
      <c r="AL9" s="997"/>
      <c r="AM9" s="998"/>
      <c r="AN9" s="436"/>
      <c r="AO9" s="997"/>
      <c r="AP9" s="436">
        <v>0</v>
      </c>
      <c r="AQ9" s="647"/>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row>
    <row r="10" spans="1:80" s="24" customFormat="1" hidden="1">
      <c r="A10" s="995" t="s">
        <v>66</v>
      </c>
      <c r="B10" s="1000"/>
      <c r="C10" s="370"/>
      <c r="D10" s="370"/>
      <c r="E10" s="370"/>
      <c r="F10" s="370"/>
      <c r="G10" s="370"/>
      <c r="H10" s="370"/>
      <c r="I10" s="370"/>
      <c r="J10" s="370"/>
      <c r="K10" s="370"/>
      <c r="L10" s="370"/>
      <c r="M10" s="370"/>
      <c r="N10" s="370"/>
      <c r="O10" s="370"/>
      <c r="P10" s="370"/>
      <c r="Q10" s="370"/>
      <c r="R10" s="424"/>
      <c r="S10" s="424"/>
      <c r="T10" s="424"/>
      <c r="U10" s="424"/>
      <c r="V10" s="370"/>
      <c r="W10" s="370"/>
      <c r="X10" s="370"/>
      <c r="Y10" s="370"/>
      <c r="Z10" s="370"/>
      <c r="AA10" s="370"/>
      <c r="AB10" s="997"/>
      <c r="AC10" s="997"/>
      <c r="AD10" s="370"/>
      <c r="AE10" s="370"/>
      <c r="AF10" s="370"/>
      <c r="AG10" s="997"/>
      <c r="AH10" s="997"/>
      <c r="AI10" s="997"/>
      <c r="AJ10" s="997"/>
      <c r="AK10" s="997"/>
      <c r="AL10" s="997"/>
      <c r="AM10" s="998"/>
      <c r="AN10" s="436"/>
      <c r="AO10" s="997"/>
      <c r="AP10" s="436">
        <v>0</v>
      </c>
      <c r="AQ10" s="647"/>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row>
    <row r="11" spans="1:80" s="24" customFormat="1" hidden="1">
      <c r="A11" s="1001" t="s">
        <v>318</v>
      </c>
      <c r="B11" s="997"/>
      <c r="C11" s="370"/>
      <c r="D11" s="370"/>
      <c r="E11" s="370"/>
      <c r="F11" s="370"/>
      <c r="G11" s="370"/>
      <c r="H11" s="370"/>
      <c r="I11" s="370"/>
      <c r="J11" s="370"/>
      <c r="K11" s="370"/>
      <c r="L11" s="370"/>
      <c r="M11" s="370"/>
      <c r="N11" s="370"/>
      <c r="O11" s="370"/>
      <c r="P11" s="370"/>
      <c r="Q11" s="370"/>
      <c r="R11" s="424"/>
      <c r="S11" s="424"/>
      <c r="T11" s="424"/>
      <c r="U11" s="424"/>
      <c r="V11" s="370"/>
      <c r="W11" s="370"/>
      <c r="X11" s="370"/>
      <c r="Y11" s="370"/>
      <c r="Z11" s="370"/>
      <c r="AA11" s="370"/>
      <c r="AB11" s="997"/>
      <c r="AC11" s="997"/>
      <c r="AD11" s="370"/>
      <c r="AE11" s="370"/>
      <c r="AF11" s="370"/>
      <c r="AG11" s="997"/>
      <c r="AH11" s="997"/>
      <c r="AI11" s="997"/>
      <c r="AJ11" s="997"/>
      <c r="AK11" s="997"/>
      <c r="AL11" s="997"/>
      <c r="AM11" s="998"/>
      <c r="AN11" s="436"/>
      <c r="AO11" s="997"/>
      <c r="AP11" s="436">
        <v>0</v>
      </c>
      <c r="AQ11" s="647"/>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row>
    <row r="12" spans="1:80" s="24" customFormat="1" hidden="1">
      <c r="A12" s="995" t="s">
        <v>316</v>
      </c>
      <c r="B12" s="997"/>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997"/>
      <c r="AC12" s="997"/>
      <c r="AD12" s="370"/>
      <c r="AE12" s="370"/>
      <c r="AF12" s="370"/>
      <c r="AG12" s="997"/>
      <c r="AH12" s="997"/>
      <c r="AI12" s="997"/>
      <c r="AJ12" s="997"/>
      <c r="AK12" s="997"/>
      <c r="AL12" s="997"/>
      <c r="AM12" s="998"/>
      <c r="AN12" s="436"/>
      <c r="AO12" s="997"/>
      <c r="AP12" s="436">
        <v>0</v>
      </c>
      <c r="AQ12" s="647"/>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row>
    <row r="13" spans="1:80" hidden="1">
      <c r="A13" s="995" t="s">
        <v>317</v>
      </c>
      <c r="B13" s="997"/>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540"/>
      <c r="AC13" s="540"/>
      <c r="AD13" s="370"/>
      <c r="AE13" s="370"/>
      <c r="AF13" s="370"/>
      <c r="AG13" s="540"/>
      <c r="AH13" s="540"/>
      <c r="AI13" s="540"/>
      <c r="AJ13" s="540"/>
      <c r="AK13" s="540"/>
      <c r="AL13" s="540"/>
      <c r="AM13" s="1002"/>
      <c r="AN13" s="532"/>
      <c r="AO13" s="540"/>
      <c r="AP13" s="532">
        <v>0</v>
      </c>
      <c r="AQ13" s="534"/>
    </row>
    <row r="14" spans="1:80" hidden="1">
      <c r="A14" s="995" t="s">
        <v>319</v>
      </c>
      <c r="B14" s="997"/>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540"/>
      <c r="AC14" s="540"/>
      <c r="AD14" s="370"/>
      <c r="AE14" s="370"/>
      <c r="AF14" s="370"/>
      <c r="AG14" s="540"/>
      <c r="AH14" s="540"/>
      <c r="AI14" s="540"/>
      <c r="AJ14" s="540"/>
      <c r="AK14" s="540"/>
      <c r="AL14" s="540"/>
      <c r="AM14" s="1002"/>
      <c r="AN14" s="532"/>
      <c r="AO14" s="540"/>
      <c r="AP14" s="532">
        <v>0</v>
      </c>
      <c r="AQ14" s="534"/>
    </row>
    <row r="15" spans="1:80" hidden="1">
      <c r="A15" s="995" t="s">
        <v>320</v>
      </c>
      <c r="B15" s="997"/>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540"/>
      <c r="AC15" s="540"/>
      <c r="AD15" s="370"/>
      <c r="AE15" s="370"/>
      <c r="AF15" s="370"/>
      <c r="AG15" s="540"/>
      <c r="AH15" s="540"/>
      <c r="AI15" s="540"/>
      <c r="AJ15" s="540"/>
      <c r="AK15" s="540"/>
      <c r="AL15" s="540"/>
      <c r="AM15" s="1002"/>
      <c r="AN15" s="532"/>
      <c r="AO15" s="540"/>
      <c r="AP15" s="532">
        <v>0</v>
      </c>
      <c r="AQ15" s="534"/>
    </row>
    <row r="16" spans="1:80" hidden="1">
      <c r="A16" s="995" t="s">
        <v>66</v>
      </c>
      <c r="B16" s="997"/>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540"/>
      <c r="AC16" s="540"/>
      <c r="AD16" s="370"/>
      <c r="AE16" s="370"/>
      <c r="AF16" s="370"/>
      <c r="AG16" s="540"/>
      <c r="AH16" s="540"/>
      <c r="AI16" s="540"/>
      <c r="AJ16" s="540"/>
      <c r="AK16" s="540"/>
      <c r="AL16" s="540"/>
      <c r="AM16" s="1002"/>
      <c r="AN16" s="532"/>
      <c r="AO16" s="540"/>
      <c r="AP16" s="532">
        <v>0</v>
      </c>
      <c r="AQ16" s="534"/>
    </row>
    <row r="17" spans="1:80" hidden="1">
      <c r="A17" s="999" t="s">
        <v>321</v>
      </c>
      <c r="B17" s="997"/>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540"/>
      <c r="AC17" s="540"/>
      <c r="AD17" s="370"/>
      <c r="AE17" s="370"/>
      <c r="AF17" s="370"/>
      <c r="AG17" s="540"/>
      <c r="AH17" s="540"/>
      <c r="AI17" s="540"/>
      <c r="AJ17" s="540"/>
      <c r="AK17" s="540"/>
      <c r="AL17" s="540"/>
      <c r="AM17" s="1002"/>
      <c r="AN17" s="532"/>
      <c r="AO17" s="540"/>
      <c r="AP17" s="532">
        <v>0</v>
      </c>
      <c r="AQ17" s="534"/>
    </row>
    <row r="18" spans="1:80" hidden="1">
      <c r="A18" s="995" t="s">
        <v>316</v>
      </c>
      <c r="B18" s="997"/>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540"/>
      <c r="AC18" s="540"/>
      <c r="AD18" s="370"/>
      <c r="AE18" s="370"/>
      <c r="AF18" s="370"/>
      <c r="AG18" s="540"/>
      <c r="AH18" s="540"/>
      <c r="AI18" s="540"/>
      <c r="AJ18" s="540"/>
      <c r="AK18" s="540"/>
      <c r="AL18" s="540"/>
      <c r="AM18" s="1002"/>
      <c r="AN18" s="532"/>
      <c r="AO18" s="540"/>
      <c r="AP18" s="532">
        <v>0</v>
      </c>
      <c r="AQ18" s="534"/>
    </row>
    <row r="19" spans="1:80" hidden="1">
      <c r="A19" s="995" t="s">
        <v>317</v>
      </c>
      <c r="B19" s="997"/>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540"/>
      <c r="AC19" s="540"/>
      <c r="AD19" s="370"/>
      <c r="AE19" s="370"/>
      <c r="AF19" s="370"/>
      <c r="AG19" s="540"/>
      <c r="AH19" s="540"/>
      <c r="AI19" s="540"/>
      <c r="AJ19" s="540"/>
      <c r="AK19" s="540"/>
      <c r="AL19" s="540"/>
      <c r="AM19" s="1002"/>
      <c r="AN19" s="532"/>
      <c r="AO19" s="540"/>
      <c r="AP19" s="532">
        <v>0</v>
      </c>
      <c r="AQ19" s="534"/>
    </row>
    <row r="20" spans="1:80" hidden="1">
      <c r="A20" s="995" t="s">
        <v>66</v>
      </c>
      <c r="B20" s="997"/>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540"/>
      <c r="AC20" s="540"/>
      <c r="AD20" s="370"/>
      <c r="AE20" s="370"/>
      <c r="AF20" s="370"/>
      <c r="AG20" s="540"/>
      <c r="AH20" s="540"/>
      <c r="AI20" s="540"/>
      <c r="AJ20" s="540"/>
      <c r="AK20" s="540"/>
      <c r="AL20" s="540"/>
      <c r="AM20" s="1002"/>
      <c r="AN20" s="532"/>
      <c r="AO20" s="540"/>
      <c r="AP20" s="532">
        <v>0</v>
      </c>
      <c r="AQ20" s="534"/>
    </row>
    <row r="21" spans="1:80" s="48" customFormat="1" ht="15" customHeight="1">
      <c r="A21" s="510" t="s">
        <v>329</v>
      </c>
      <c r="B21" s="735" t="s">
        <v>355</v>
      </c>
      <c r="C21" s="1003"/>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03"/>
      <c r="Z21" s="1003"/>
      <c r="AA21" s="1003"/>
      <c r="AB21" s="1004"/>
      <c r="AC21" s="1004"/>
      <c r="AD21" s="1003"/>
      <c r="AE21" s="1003"/>
      <c r="AF21" s="1003"/>
      <c r="AG21" s="1004"/>
      <c r="AH21" s="1004"/>
      <c r="AI21" s="1004"/>
      <c r="AJ21" s="1004"/>
      <c r="AK21" s="1004"/>
      <c r="AL21" s="1004"/>
      <c r="AM21" s="549">
        <f>AM22+AM26+AM31+AM35+AM36</f>
        <v>220917</v>
      </c>
      <c r="AN21" s="549">
        <f>AN22+AN26+AN31+AN35+AN36</f>
        <v>218715</v>
      </c>
      <c r="AO21" s="549">
        <f>AO22+AO26+AO31+AO35+AO36</f>
        <v>219208</v>
      </c>
      <c r="AP21" s="549">
        <f t="shared" ref="AP21:AQ21" si="0">AP22+AP26+AP31+AP35+AP36</f>
        <v>225583</v>
      </c>
      <c r="AQ21" s="655">
        <f t="shared" si="0"/>
        <v>242816</v>
      </c>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row>
    <row r="22" spans="1:80" s="44" customFormat="1" ht="15" customHeight="1">
      <c r="A22" s="1005" t="s">
        <v>315</v>
      </c>
      <c r="B22" s="1006" t="s">
        <v>356</v>
      </c>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922"/>
      <c r="AC22" s="922"/>
      <c r="AD22" s="1007"/>
      <c r="AE22" s="1007"/>
      <c r="AF22" s="1007"/>
      <c r="AG22" s="922"/>
      <c r="AH22" s="922"/>
      <c r="AI22" s="922"/>
      <c r="AJ22" s="922"/>
      <c r="AK22" s="922"/>
      <c r="AL22" s="922"/>
      <c r="AM22" s="891">
        <f>SUM(AM23:AM25)</f>
        <v>151161</v>
      </c>
      <c r="AN22" s="891">
        <f>SUM(AN23:AN25)</f>
        <v>152424</v>
      </c>
      <c r="AO22" s="891">
        <f>SUM(AO23:AO25)</f>
        <v>153655</v>
      </c>
      <c r="AP22" s="891">
        <f t="shared" ref="AP22:AQ22" si="1">SUM(AP23:AP25)</f>
        <v>154765</v>
      </c>
      <c r="AQ22" s="891">
        <f t="shared" si="1"/>
        <v>165182</v>
      </c>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row>
    <row r="23" spans="1:80" s="20" customFormat="1" ht="15" customHeight="1">
      <c r="A23" s="1008" t="s">
        <v>316</v>
      </c>
      <c r="B23" s="1009" t="s">
        <v>357</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1"/>
      <c r="AC23" s="1011"/>
      <c r="AD23" s="1010"/>
      <c r="AE23" s="1010"/>
      <c r="AF23" s="1010"/>
      <c r="AG23" s="1011"/>
      <c r="AH23" s="1011"/>
      <c r="AI23" s="1011"/>
      <c r="AJ23" s="1011"/>
      <c r="AK23" s="1011"/>
      <c r="AL23" s="1011"/>
      <c r="AM23" s="1012">
        <v>86819</v>
      </c>
      <c r="AN23" s="1012">
        <v>90059</v>
      </c>
      <c r="AO23" s="1012">
        <v>93441</v>
      </c>
      <c r="AP23" s="1012">
        <v>95931</v>
      </c>
      <c r="AQ23" s="1013">
        <v>103143</v>
      </c>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row>
    <row r="24" spans="1:80" s="20" customFormat="1" ht="15" customHeight="1">
      <c r="A24" s="1008" t="s">
        <v>317</v>
      </c>
      <c r="B24" s="1009" t="s">
        <v>358</v>
      </c>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1"/>
      <c r="AC24" s="1011"/>
      <c r="AD24" s="1010"/>
      <c r="AE24" s="1010"/>
      <c r="AF24" s="1010"/>
      <c r="AG24" s="1011"/>
      <c r="AH24" s="1011"/>
      <c r="AI24" s="1011"/>
      <c r="AJ24" s="1011"/>
      <c r="AK24" s="1011"/>
      <c r="AL24" s="1011"/>
      <c r="AM24" s="1012">
        <v>64126</v>
      </c>
      <c r="AN24" s="1012">
        <v>61772</v>
      </c>
      <c r="AO24" s="1012">
        <v>60001</v>
      </c>
      <c r="AP24" s="1012">
        <v>58218</v>
      </c>
      <c r="AQ24" s="1013">
        <v>61638</v>
      </c>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row>
    <row r="25" spans="1:80" s="20" customFormat="1" ht="15" customHeight="1">
      <c r="A25" s="1008" t="s">
        <v>66</v>
      </c>
      <c r="B25" s="1009" t="s">
        <v>209</v>
      </c>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1"/>
      <c r="AC25" s="1011"/>
      <c r="AD25" s="1010"/>
      <c r="AE25" s="1010"/>
      <c r="AF25" s="1010"/>
      <c r="AG25" s="1011"/>
      <c r="AH25" s="1011"/>
      <c r="AI25" s="1011"/>
      <c r="AJ25" s="1011"/>
      <c r="AK25" s="1011"/>
      <c r="AL25" s="1011"/>
      <c r="AM25" s="1012">
        <v>216</v>
      </c>
      <c r="AN25" s="1012">
        <v>593</v>
      </c>
      <c r="AO25" s="1012">
        <v>213</v>
      </c>
      <c r="AP25" s="1012">
        <v>616</v>
      </c>
      <c r="AQ25" s="1013">
        <v>401</v>
      </c>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row>
    <row r="26" spans="1:80" s="44" customFormat="1" ht="15" customHeight="1">
      <c r="A26" s="1014" t="s">
        <v>318</v>
      </c>
      <c r="B26" s="1006" t="s">
        <v>359</v>
      </c>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922"/>
      <c r="AC26" s="922"/>
      <c r="AD26" s="1007"/>
      <c r="AE26" s="1007"/>
      <c r="AF26" s="1007"/>
      <c r="AG26" s="922"/>
      <c r="AH26" s="922"/>
      <c r="AI26" s="922"/>
      <c r="AJ26" s="922"/>
      <c r="AK26" s="922"/>
      <c r="AL26" s="922"/>
      <c r="AM26" s="891">
        <f>SUM(AM27:AM30)</f>
        <v>52667</v>
      </c>
      <c r="AN26" s="891">
        <f>SUM(AN27:AN30)</f>
        <v>50197</v>
      </c>
      <c r="AO26" s="891">
        <f>SUM(AO27:AO30)</f>
        <v>49287</v>
      </c>
      <c r="AP26" s="891">
        <f t="shared" ref="AP26:AQ26" si="2">SUM(AP27:AP30)</f>
        <v>52209</v>
      </c>
      <c r="AQ26" s="892">
        <f t="shared" si="2"/>
        <v>55302</v>
      </c>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row>
    <row r="27" spans="1:80" s="20" customFormat="1" ht="15" customHeight="1">
      <c r="A27" s="1008" t="s">
        <v>316</v>
      </c>
      <c r="B27" s="1009" t="s">
        <v>357</v>
      </c>
      <c r="C27" s="1010"/>
      <c r="D27" s="1010"/>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1"/>
      <c r="AC27" s="1011"/>
      <c r="AD27" s="1010"/>
      <c r="AE27" s="1010"/>
      <c r="AF27" s="1010"/>
      <c r="AG27" s="1011"/>
      <c r="AH27" s="1011"/>
      <c r="AI27" s="1011"/>
      <c r="AJ27" s="1011"/>
      <c r="AK27" s="1011"/>
      <c r="AL27" s="1011"/>
      <c r="AM27" s="1012">
        <v>40070</v>
      </c>
      <c r="AN27" s="1012">
        <v>33570</v>
      </c>
      <c r="AO27" s="1012">
        <v>34540</v>
      </c>
      <c r="AP27" s="1012">
        <v>35657</v>
      </c>
      <c r="AQ27" s="1013">
        <v>38927</v>
      </c>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row>
    <row r="28" spans="1:80" s="20" customFormat="1" ht="15" customHeight="1">
      <c r="A28" s="1008" t="s">
        <v>317</v>
      </c>
      <c r="B28" s="1009" t="s">
        <v>358</v>
      </c>
      <c r="C28" s="1010"/>
      <c r="D28" s="1010"/>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1"/>
      <c r="AC28" s="1011"/>
      <c r="AD28" s="1010"/>
      <c r="AE28" s="1010"/>
      <c r="AF28" s="1010"/>
      <c r="AG28" s="1011"/>
      <c r="AH28" s="1011"/>
      <c r="AI28" s="1011"/>
      <c r="AJ28" s="1011"/>
      <c r="AK28" s="1011"/>
      <c r="AL28" s="1011"/>
      <c r="AM28" s="1012">
        <v>11613</v>
      </c>
      <c r="AN28" s="1012">
        <v>14627</v>
      </c>
      <c r="AO28" s="1012">
        <v>13965</v>
      </c>
      <c r="AP28" s="1012">
        <v>15650</v>
      </c>
      <c r="AQ28" s="1013">
        <v>15465</v>
      </c>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row>
    <row r="29" spans="1:80" s="20" customFormat="1" ht="15" customHeight="1">
      <c r="A29" s="1008" t="s">
        <v>320</v>
      </c>
      <c r="B29" s="1009" t="s">
        <v>360</v>
      </c>
      <c r="C29" s="1010"/>
      <c r="D29" s="1010"/>
      <c r="E29" s="1010"/>
      <c r="F29" s="1010"/>
      <c r="G29" s="1010"/>
      <c r="H29" s="1010"/>
      <c r="I29" s="1010"/>
      <c r="J29" s="1010"/>
      <c r="K29" s="1010"/>
      <c r="L29" s="1010"/>
      <c r="M29" s="1010"/>
      <c r="N29" s="1010"/>
      <c r="O29" s="1010"/>
      <c r="P29" s="1010"/>
      <c r="Q29" s="1010"/>
      <c r="R29" s="1010"/>
      <c r="S29" s="1010"/>
      <c r="T29" s="1010"/>
      <c r="U29" s="1010"/>
      <c r="V29" s="1010"/>
      <c r="W29" s="1010"/>
      <c r="X29" s="1010"/>
      <c r="Y29" s="1010"/>
      <c r="Z29" s="1010"/>
      <c r="AA29" s="1010"/>
      <c r="AB29" s="1011"/>
      <c r="AC29" s="1011"/>
      <c r="AD29" s="1010"/>
      <c r="AE29" s="1010"/>
      <c r="AF29" s="1010"/>
      <c r="AG29" s="1011"/>
      <c r="AH29" s="1011"/>
      <c r="AI29" s="1011"/>
      <c r="AJ29" s="1011"/>
      <c r="AK29" s="1011"/>
      <c r="AL29" s="1011"/>
      <c r="AM29" s="1012">
        <v>48</v>
      </c>
      <c r="AN29" s="1012">
        <v>1244</v>
      </c>
      <c r="AO29" s="1012">
        <v>0</v>
      </c>
      <c r="AP29" s="1012">
        <v>145</v>
      </c>
      <c r="AQ29" s="1013">
        <v>0</v>
      </c>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row>
    <row r="30" spans="1:80" s="20" customFormat="1" ht="15" customHeight="1">
      <c r="A30" s="1008" t="s">
        <v>66</v>
      </c>
      <c r="B30" s="1009" t="s">
        <v>209</v>
      </c>
      <c r="C30" s="1010"/>
      <c r="D30" s="1010"/>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1"/>
      <c r="AC30" s="1011"/>
      <c r="AD30" s="1010"/>
      <c r="AE30" s="1010"/>
      <c r="AF30" s="1010"/>
      <c r="AG30" s="1011"/>
      <c r="AH30" s="1011"/>
      <c r="AI30" s="1011"/>
      <c r="AJ30" s="1011"/>
      <c r="AK30" s="1011"/>
      <c r="AL30" s="1011"/>
      <c r="AM30" s="1012">
        <v>936</v>
      </c>
      <c r="AN30" s="1012">
        <v>756</v>
      </c>
      <c r="AO30" s="1012">
        <v>782</v>
      </c>
      <c r="AP30" s="1012">
        <v>757</v>
      </c>
      <c r="AQ30" s="1013">
        <v>910</v>
      </c>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row>
    <row r="31" spans="1:80" s="44" customFormat="1" ht="15" customHeight="1">
      <c r="A31" s="1005" t="s">
        <v>321</v>
      </c>
      <c r="B31" s="1006" t="s">
        <v>361</v>
      </c>
      <c r="C31" s="1007"/>
      <c r="D31" s="1007"/>
      <c r="E31" s="1007"/>
      <c r="F31" s="1007"/>
      <c r="G31" s="1007"/>
      <c r="H31" s="1007"/>
      <c r="I31" s="1007"/>
      <c r="J31" s="1007"/>
      <c r="K31" s="1007"/>
      <c r="L31" s="1007"/>
      <c r="M31" s="1007"/>
      <c r="N31" s="1007"/>
      <c r="O31" s="1007"/>
      <c r="P31" s="1007"/>
      <c r="Q31" s="1007"/>
      <c r="R31" s="1007"/>
      <c r="S31" s="1007"/>
      <c r="T31" s="1007"/>
      <c r="U31" s="1007"/>
      <c r="V31" s="1007"/>
      <c r="W31" s="1007"/>
      <c r="X31" s="1007"/>
      <c r="Y31" s="1007"/>
      <c r="Z31" s="1007"/>
      <c r="AA31" s="1007"/>
      <c r="AB31" s="922"/>
      <c r="AC31" s="922"/>
      <c r="AD31" s="1007"/>
      <c r="AE31" s="1007"/>
      <c r="AF31" s="1007"/>
      <c r="AG31" s="922"/>
      <c r="AH31" s="922"/>
      <c r="AI31" s="922"/>
      <c r="AJ31" s="922"/>
      <c r="AK31" s="922"/>
      <c r="AL31" s="922"/>
      <c r="AM31" s="891">
        <f>SUM(AM32:AM34)</f>
        <v>11409</v>
      </c>
      <c r="AN31" s="891">
        <f>SUM(AN32:AN34)</f>
        <v>10937</v>
      </c>
      <c r="AO31" s="891">
        <f>SUM(AO32:AO34)</f>
        <v>11003</v>
      </c>
      <c r="AP31" s="891">
        <f t="shared" ref="AP31:AQ31" si="3">SUM(AP32:AP34)</f>
        <v>13353</v>
      </c>
      <c r="AQ31" s="892">
        <f t="shared" si="3"/>
        <v>16459</v>
      </c>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row>
    <row r="32" spans="1:80" s="20" customFormat="1" ht="15" customHeight="1">
      <c r="A32" s="1008" t="s">
        <v>316</v>
      </c>
      <c r="B32" s="1009" t="s">
        <v>357</v>
      </c>
      <c r="C32" s="1010"/>
      <c r="D32" s="1010"/>
      <c r="E32" s="1010"/>
      <c r="F32" s="1010"/>
      <c r="G32" s="1010"/>
      <c r="H32" s="1010"/>
      <c r="I32" s="1010"/>
      <c r="J32" s="1010"/>
      <c r="K32" s="1010"/>
      <c r="L32" s="1010"/>
      <c r="M32" s="1010"/>
      <c r="N32" s="1010"/>
      <c r="O32" s="1010"/>
      <c r="P32" s="1010"/>
      <c r="Q32" s="1010"/>
      <c r="R32" s="1010"/>
      <c r="S32" s="1010"/>
      <c r="T32" s="1010"/>
      <c r="U32" s="1010"/>
      <c r="V32" s="1010"/>
      <c r="W32" s="1010"/>
      <c r="X32" s="1010"/>
      <c r="Y32" s="1010"/>
      <c r="Z32" s="1010"/>
      <c r="AA32" s="1010"/>
      <c r="AB32" s="1011"/>
      <c r="AC32" s="1011"/>
      <c r="AD32" s="1010"/>
      <c r="AE32" s="1010"/>
      <c r="AF32" s="1010"/>
      <c r="AG32" s="1011"/>
      <c r="AH32" s="1011"/>
      <c r="AI32" s="1011"/>
      <c r="AJ32" s="1011"/>
      <c r="AK32" s="1011"/>
      <c r="AL32" s="1011"/>
      <c r="AM32" s="1012">
        <v>9555</v>
      </c>
      <c r="AN32" s="1012">
        <v>9314</v>
      </c>
      <c r="AO32" s="1012">
        <v>9073</v>
      </c>
      <c r="AP32" s="1012">
        <v>9127</v>
      </c>
      <c r="AQ32" s="1013">
        <v>11242</v>
      </c>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row>
    <row r="33" spans="1:80" s="20" customFormat="1" ht="15" customHeight="1">
      <c r="A33" s="1008" t="s">
        <v>317</v>
      </c>
      <c r="B33" s="1009" t="s">
        <v>358</v>
      </c>
      <c r="C33" s="1010"/>
      <c r="D33" s="1010"/>
      <c r="E33" s="1010"/>
      <c r="F33" s="1010"/>
      <c r="G33" s="1010"/>
      <c r="H33" s="1010"/>
      <c r="I33" s="1010"/>
      <c r="J33" s="1010"/>
      <c r="K33" s="1010"/>
      <c r="L33" s="1010"/>
      <c r="M33" s="1010"/>
      <c r="N33" s="1010"/>
      <c r="O33" s="1010"/>
      <c r="P33" s="1010"/>
      <c r="Q33" s="1010"/>
      <c r="R33" s="1010"/>
      <c r="S33" s="1010"/>
      <c r="T33" s="1010"/>
      <c r="U33" s="1010"/>
      <c r="V33" s="1010"/>
      <c r="W33" s="1010"/>
      <c r="X33" s="1010"/>
      <c r="Y33" s="1010"/>
      <c r="Z33" s="1010"/>
      <c r="AA33" s="1010"/>
      <c r="AB33" s="1011"/>
      <c r="AC33" s="1011"/>
      <c r="AD33" s="1010"/>
      <c r="AE33" s="1010"/>
      <c r="AF33" s="1010"/>
      <c r="AG33" s="1011"/>
      <c r="AH33" s="1011"/>
      <c r="AI33" s="1011"/>
      <c r="AJ33" s="1011"/>
      <c r="AK33" s="1011"/>
      <c r="AL33" s="1011"/>
      <c r="AM33" s="1012">
        <v>1820</v>
      </c>
      <c r="AN33" s="1012">
        <v>1581</v>
      </c>
      <c r="AO33" s="1012">
        <v>1849</v>
      </c>
      <c r="AP33" s="1012">
        <v>4172</v>
      </c>
      <c r="AQ33" s="1013">
        <v>5115</v>
      </c>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row>
    <row r="34" spans="1:80" s="20" customFormat="1" ht="15" customHeight="1">
      <c r="A34" s="1008" t="s">
        <v>66</v>
      </c>
      <c r="B34" s="1009" t="s">
        <v>209</v>
      </c>
      <c r="C34" s="1010"/>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1010"/>
      <c r="AB34" s="1011"/>
      <c r="AC34" s="1011"/>
      <c r="AD34" s="1010"/>
      <c r="AE34" s="1010"/>
      <c r="AF34" s="1010"/>
      <c r="AG34" s="1011"/>
      <c r="AH34" s="1011"/>
      <c r="AI34" s="1011"/>
      <c r="AJ34" s="1011"/>
      <c r="AK34" s="1011"/>
      <c r="AL34" s="1011"/>
      <c r="AM34" s="1012">
        <v>34</v>
      </c>
      <c r="AN34" s="1012">
        <v>42</v>
      </c>
      <c r="AO34" s="1012">
        <v>81</v>
      </c>
      <c r="AP34" s="1012">
        <v>54</v>
      </c>
      <c r="AQ34" s="1013">
        <v>102</v>
      </c>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row>
    <row r="35" spans="1:80" s="44" customFormat="1" ht="15" customHeight="1">
      <c r="A35" s="1005" t="s">
        <v>330</v>
      </c>
      <c r="B35" s="1006" t="s">
        <v>362</v>
      </c>
      <c r="C35" s="1007"/>
      <c r="D35" s="1007"/>
      <c r="E35" s="1007"/>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1007"/>
      <c r="AB35" s="922"/>
      <c r="AC35" s="922"/>
      <c r="AD35" s="1007"/>
      <c r="AE35" s="1007"/>
      <c r="AF35" s="1007"/>
      <c r="AG35" s="922"/>
      <c r="AH35" s="922"/>
      <c r="AI35" s="922"/>
      <c r="AJ35" s="922"/>
      <c r="AK35" s="922"/>
      <c r="AL35" s="922"/>
      <c r="AM35" s="891">
        <v>3563</v>
      </c>
      <c r="AN35" s="891">
        <v>3465</v>
      </c>
      <c r="AO35" s="891">
        <v>3643</v>
      </c>
      <c r="AP35" s="891">
        <v>3386</v>
      </c>
      <c r="AQ35" s="892">
        <v>4093</v>
      </c>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row>
    <row r="36" spans="1:80" s="44" customFormat="1" ht="15" customHeight="1">
      <c r="A36" s="1005" t="s">
        <v>364</v>
      </c>
      <c r="B36" s="1006" t="s">
        <v>363</v>
      </c>
      <c r="C36" s="1007"/>
      <c r="D36" s="1007"/>
      <c r="E36" s="1007"/>
      <c r="F36" s="1007"/>
      <c r="G36" s="1007"/>
      <c r="H36" s="1007"/>
      <c r="I36" s="1007"/>
      <c r="J36" s="1007"/>
      <c r="K36" s="1007"/>
      <c r="L36" s="1007"/>
      <c r="M36" s="1007"/>
      <c r="N36" s="1007"/>
      <c r="O36" s="1007"/>
      <c r="P36" s="1007"/>
      <c r="Q36" s="1007"/>
      <c r="R36" s="1007"/>
      <c r="S36" s="1007"/>
      <c r="T36" s="1007"/>
      <c r="U36" s="1007"/>
      <c r="V36" s="1007"/>
      <c r="W36" s="1007"/>
      <c r="X36" s="1007"/>
      <c r="Y36" s="1007"/>
      <c r="Z36" s="1007"/>
      <c r="AA36" s="1007"/>
      <c r="AB36" s="922"/>
      <c r="AC36" s="922"/>
      <c r="AD36" s="1007"/>
      <c r="AE36" s="1007"/>
      <c r="AF36" s="1007"/>
      <c r="AG36" s="922"/>
      <c r="AH36" s="922"/>
      <c r="AI36" s="922"/>
      <c r="AJ36" s="922"/>
      <c r="AK36" s="922"/>
      <c r="AL36" s="922"/>
      <c r="AM36" s="891">
        <v>2117</v>
      </c>
      <c r="AN36" s="891">
        <v>1692</v>
      </c>
      <c r="AO36" s="891">
        <v>1620</v>
      </c>
      <c r="AP36" s="891">
        <v>1870</v>
      </c>
      <c r="AQ36" s="892">
        <v>1780</v>
      </c>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row>
    <row r="37" spans="1:80" s="48" customFormat="1" ht="15" customHeight="1">
      <c r="A37" s="796" t="s">
        <v>322</v>
      </c>
      <c r="B37" s="657" t="s">
        <v>353</v>
      </c>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784"/>
      <c r="AC37" s="784"/>
      <c r="AD37" s="657"/>
      <c r="AE37" s="657"/>
      <c r="AF37" s="657"/>
      <c r="AG37" s="784"/>
      <c r="AH37" s="784"/>
      <c r="AI37" s="784"/>
      <c r="AJ37" s="784"/>
      <c r="AK37" s="784"/>
      <c r="AL37" s="784"/>
      <c r="AM37" s="549">
        <v>220917</v>
      </c>
      <c r="AN37" s="549">
        <f>AN4+AN21</f>
        <v>218715</v>
      </c>
      <c r="AO37" s="549">
        <f>AO4+AO21</f>
        <v>219208</v>
      </c>
      <c r="AP37" s="549">
        <v>225617</v>
      </c>
      <c r="AQ37" s="655">
        <v>242816</v>
      </c>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row>
    <row r="38" spans="1:80" ht="14.25" thickBot="1">
      <c r="A38" s="1025"/>
      <c r="B38" s="1030"/>
      <c r="C38" s="1030"/>
      <c r="D38" s="1030"/>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1"/>
      <c r="AC38" s="1031"/>
      <c r="AD38" s="1030"/>
      <c r="AE38" s="1030"/>
      <c r="AF38" s="1030"/>
      <c r="AG38" s="1031"/>
      <c r="AH38" s="1031"/>
      <c r="AI38" s="1031"/>
      <c r="AJ38" s="1031"/>
      <c r="AK38" s="1031"/>
      <c r="AL38" s="1031"/>
      <c r="AM38" s="1031"/>
      <c r="AN38" s="1031"/>
      <c r="AO38" s="1031"/>
      <c r="AP38" s="1031"/>
      <c r="AQ38" s="1032"/>
    </row>
    <row r="39" spans="1:80" s="48" customFormat="1" ht="19.5" customHeight="1" thickBot="1">
      <c r="A39" s="343" t="s">
        <v>365</v>
      </c>
      <c r="B39" s="793" t="s">
        <v>182</v>
      </c>
      <c r="C39" s="305" t="s">
        <v>304</v>
      </c>
      <c r="D39" s="305" t="s">
        <v>303</v>
      </c>
      <c r="E39" s="305" t="s">
        <v>302</v>
      </c>
      <c r="F39" s="305" t="s">
        <v>301</v>
      </c>
      <c r="G39" s="305" t="s">
        <v>297</v>
      </c>
      <c r="H39" s="305" t="s">
        <v>298</v>
      </c>
      <c r="I39" s="305" t="s">
        <v>299</v>
      </c>
      <c r="J39" s="305" t="s">
        <v>300</v>
      </c>
      <c r="K39" s="305" t="s">
        <v>296</v>
      </c>
      <c r="L39" s="305" t="s">
        <v>295</v>
      </c>
      <c r="M39" s="305" t="s">
        <v>294</v>
      </c>
      <c r="N39" s="305" t="s">
        <v>293</v>
      </c>
      <c r="O39" s="305" t="s">
        <v>292</v>
      </c>
      <c r="P39" s="305" t="s">
        <v>291</v>
      </c>
      <c r="Q39" s="305" t="s">
        <v>290</v>
      </c>
      <c r="R39" s="305" t="s">
        <v>289</v>
      </c>
      <c r="S39" s="305" t="s">
        <v>288</v>
      </c>
      <c r="T39" s="305" t="s">
        <v>287</v>
      </c>
      <c r="U39" s="305" t="s">
        <v>286</v>
      </c>
      <c r="V39" s="305" t="s">
        <v>285</v>
      </c>
      <c r="W39" s="305" t="s">
        <v>281</v>
      </c>
      <c r="X39" s="305" t="s">
        <v>282</v>
      </c>
      <c r="Y39" s="305" t="s">
        <v>283</v>
      </c>
      <c r="Z39" s="305" t="s">
        <v>284</v>
      </c>
      <c r="AA39" s="305" t="s">
        <v>277</v>
      </c>
      <c r="AB39" s="305" t="s">
        <v>278</v>
      </c>
      <c r="AC39" s="305" t="s">
        <v>279</v>
      </c>
      <c r="AD39" s="305" t="s">
        <v>280</v>
      </c>
      <c r="AE39" s="305" t="s">
        <v>274</v>
      </c>
      <c r="AF39" s="305" t="s">
        <v>275</v>
      </c>
      <c r="AG39" s="305" t="s">
        <v>276</v>
      </c>
      <c r="AH39" s="305" t="s">
        <v>256</v>
      </c>
      <c r="AI39" s="305" t="s">
        <v>273</v>
      </c>
      <c r="AJ39" s="305" t="s">
        <v>272</v>
      </c>
      <c r="AK39" s="305" t="s">
        <v>255</v>
      </c>
      <c r="AL39" s="305"/>
      <c r="AM39" s="305" t="str">
        <f>AM3</f>
        <v>31.12.2017</v>
      </c>
      <c r="AN39" s="305" t="str">
        <f>AN3</f>
        <v>31.03.2018</v>
      </c>
      <c r="AO39" s="305" t="str">
        <f>AO3</f>
        <v>30.06.2018</v>
      </c>
      <c r="AP39" s="305" t="str">
        <f>AP3</f>
        <v>30.09.2018</v>
      </c>
      <c r="AQ39" s="659" t="str">
        <f>AQ3</f>
        <v>31.12.2018</v>
      </c>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row>
    <row r="40" spans="1:80" s="48" customFormat="1" ht="30">
      <c r="A40" s="1026" t="s">
        <v>732</v>
      </c>
      <c r="B40" s="1027" t="s">
        <v>733</v>
      </c>
      <c r="C40" s="1028"/>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c r="AH40" s="1028"/>
      <c r="AI40" s="1028"/>
      <c r="AJ40" s="1028"/>
      <c r="AK40" s="1028"/>
      <c r="AL40" s="1028"/>
      <c r="AM40" s="1028"/>
      <c r="AN40" s="1028"/>
      <c r="AO40" s="1028"/>
      <c r="AP40" s="1028"/>
      <c r="AQ40" s="1029"/>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row>
    <row r="41" spans="1:80" ht="15" customHeight="1">
      <c r="A41" s="999" t="s">
        <v>323</v>
      </c>
      <c r="B41" s="1015" t="s">
        <v>345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540"/>
      <c r="AC41" s="540"/>
      <c r="AD41" s="370"/>
      <c r="AE41" s="370"/>
      <c r="AF41" s="370"/>
      <c r="AG41" s="540"/>
      <c r="AH41" s="532"/>
      <c r="AI41" s="532"/>
      <c r="AJ41" s="532"/>
      <c r="AK41" s="532"/>
      <c r="AL41" s="532"/>
      <c r="AM41" s="532">
        <v>142484</v>
      </c>
      <c r="AN41" s="532">
        <v>144415</v>
      </c>
      <c r="AO41" s="532">
        <v>145360</v>
      </c>
      <c r="AP41" s="532">
        <v>146115</v>
      </c>
      <c r="AQ41" s="534">
        <v>155079</v>
      </c>
    </row>
    <row r="42" spans="1:80" ht="15" customHeight="1">
      <c r="A42" s="999" t="s">
        <v>324</v>
      </c>
      <c r="B42" s="1015" t="s">
        <v>343</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540"/>
      <c r="AC42" s="540"/>
      <c r="AD42" s="370"/>
      <c r="AE42" s="370"/>
      <c r="AF42" s="370"/>
      <c r="AG42" s="540"/>
      <c r="AH42" s="532"/>
      <c r="AI42" s="532"/>
      <c r="AJ42" s="532"/>
      <c r="AK42" s="532"/>
      <c r="AL42" s="532"/>
      <c r="AM42" s="532">
        <v>48570</v>
      </c>
      <c r="AN42" s="532">
        <v>44432</v>
      </c>
      <c r="AO42" s="532">
        <v>44773</v>
      </c>
      <c r="AP42" s="532">
        <v>48995</v>
      </c>
      <c r="AQ42" s="534">
        <v>55051</v>
      </c>
    </row>
    <row r="43" spans="1:80" ht="15" customHeight="1">
      <c r="A43" s="999" t="s">
        <v>325</v>
      </c>
      <c r="B43" s="1015" t="s">
        <v>344</v>
      </c>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540"/>
      <c r="AC43" s="540"/>
      <c r="AD43" s="370"/>
      <c r="AE43" s="370"/>
      <c r="AF43" s="370"/>
      <c r="AG43" s="540"/>
      <c r="AH43" s="532"/>
      <c r="AI43" s="532"/>
      <c r="AJ43" s="532"/>
      <c r="AK43" s="532"/>
      <c r="AL43" s="532"/>
      <c r="AM43" s="532">
        <v>24127</v>
      </c>
      <c r="AN43" s="532">
        <v>23459</v>
      </c>
      <c r="AO43" s="532">
        <v>23804</v>
      </c>
      <c r="AP43" s="532">
        <v>25098</v>
      </c>
      <c r="AQ43" s="534">
        <v>26805</v>
      </c>
    </row>
    <row r="44" spans="1:80" ht="15" customHeight="1">
      <c r="A44" s="999" t="s">
        <v>326</v>
      </c>
      <c r="B44" s="1015" t="s">
        <v>350</v>
      </c>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540"/>
      <c r="AC44" s="540"/>
      <c r="AD44" s="370"/>
      <c r="AE44" s="370"/>
      <c r="AF44" s="370"/>
      <c r="AG44" s="540"/>
      <c r="AH44" s="532"/>
      <c r="AI44" s="532"/>
      <c r="AJ44" s="532"/>
      <c r="AK44" s="532"/>
      <c r="AL44" s="532"/>
      <c r="AM44" s="532">
        <v>3563</v>
      </c>
      <c r="AN44" s="532">
        <v>3465</v>
      </c>
      <c r="AO44" s="532">
        <v>3643</v>
      </c>
      <c r="AP44" s="532">
        <v>3386</v>
      </c>
      <c r="AQ44" s="534">
        <v>4093</v>
      </c>
    </row>
    <row r="45" spans="1:80" ht="15" customHeight="1">
      <c r="A45" s="999" t="s">
        <v>327</v>
      </c>
      <c r="B45" s="1015" t="s">
        <v>351</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540"/>
      <c r="AC45" s="540"/>
      <c r="AD45" s="370"/>
      <c r="AE45" s="370"/>
      <c r="AF45" s="370"/>
      <c r="AG45" s="540"/>
      <c r="AH45" s="532"/>
      <c r="AI45" s="532"/>
      <c r="AJ45" s="532"/>
      <c r="AK45" s="532"/>
      <c r="AL45" s="532"/>
      <c r="AM45" s="532">
        <v>48</v>
      </c>
      <c r="AN45" s="532">
        <v>1244</v>
      </c>
      <c r="AO45" s="532">
        <v>0</v>
      </c>
      <c r="AP45" s="532">
        <v>145</v>
      </c>
      <c r="AQ45" s="534">
        <v>0</v>
      </c>
    </row>
    <row r="46" spans="1:80" ht="27">
      <c r="A46" s="999" t="s">
        <v>328</v>
      </c>
      <c r="B46" s="1015" t="s">
        <v>352</v>
      </c>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540"/>
      <c r="AC46" s="540"/>
      <c r="AD46" s="370"/>
      <c r="AE46" s="370"/>
      <c r="AF46" s="370"/>
      <c r="AG46" s="540"/>
      <c r="AH46" s="532"/>
      <c r="AI46" s="532"/>
      <c r="AJ46" s="532"/>
      <c r="AK46" s="532"/>
      <c r="AL46" s="532"/>
      <c r="AM46" s="532">
        <v>2125</v>
      </c>
      <c r="AN46" s="532">
        <v>1700</v>
      </c>
      <c r="AO46" s="532">
        <v>1628</v>
      </c>
      <c r="AP46" s="532">
        <v>1878</v>
      </c>
      <c r="AQ46" s="534">
        <v>1788</v>
      </c>
    </row>
    <row r="47" spans="1:80" s="48" customFormat="1" ht="15">
      <c r="A47" s="796" t="s">
        <v>322</v>
      </c>
      <c r="B47" s="657" t="s">
        <v>353</v>
      </c>
      <c r="C47" s="657"/>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784"/>
      <c r="AC47" s="784"/>
      <c r="AD47" s="657"/>
      <c r="AE47" s="657"/>
      <c r="AF47" s="657"/>
      <c r="AG47" s="784"/>
      <c r="AH47" s="549"/>
      <c r="AI47" s="549"/>
      <c r="AJ47" s="549"/>
      <c r="AK47" s="549"/>
      <c r="AL47" s="549"/>
      <c r="AM47" s="549">
        <f>SUM(AM41:AM46)</f>
        <v>220917</v>
      </c>
      <c r="AN47" s="549">
        <f t="shared" ref="AN47:AP47" si="4">SUM(AN41:AN46)</f>
        <v>218715</v>
      </c>
      <c r="AO47" s="549">
        <f t="shared" si="4"/>
        <v>219208</v>
      </c>
      <c r="AP47" s="549">
        <f t="shared" si="4"/>
        <v>225617</v>
      </c>
      <c r="AQ47" s="655">
        <v>242816</v>
      </c>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row>
    <row r="48" spans="1:80" s="206" customFormat="1">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D48" s="205"/>
      <c r="AE48" s="205"/>
      <c r="AF48" s="205"/>
    </row>
    <row r="49" spans="1:32" s="145" customForma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D49" s="150"/>
      <c r="AE49" s="150"/>
      <c r="AF49" s="150"/>
    </row>
    <row r="50" spans="1:32" s="145" customFormat="1">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D50" s="150"/>
      <c r="AE50" s="150"/>
      <c r="AF50" s="150"/>
    </row>
    <row r="51" spans="1:32" s="145" customFormat="1">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D51" s="150"/>
      <c r="AE51" s="150"/>
      <c r="AF51" s="150"/>
    </row>
    <row r="52" spans="1:32" s="145" customForma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D52" s="150"/>
      <c r="AE52" s="150"/>
      <c r="AF52" s="150"/>
    </row>
    <row r="53" spans="1:32" s="145" customFormat="1">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D53" s="150"/>
      <c r="AE53" s="150"/>
      <c r="AF53" s="150"/>
    </row>
    <row r="54" spans="1:32" s="145" customForma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D54" s="150"/>
      <c r="AE54" s="150"/>
      <c r="AF54" s="150"/>
    </row>
    <row r="55" spans="1:32" s="145" customForma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D55" s="150"/>
      <c r="AE55" s="150"/>
      <c r="AF55" s="150"/>
    </row>
    <row r="56" spans="1:32" s="145" customFormat="1">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D56" s="150"/>
      <c r="AE56" s="150"/>
      <c r="AF56" s="150"/>
    </row>
    <row r="57" spans="1:32" s="145" customForma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D57" s="150"/>
      <c r="AE57" s="150"/>
      <c r="AF57" s="150"/>
    </row>
    <row r="58" spans="1:32" s="145" customFormat="1">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D58" s="150"/>
      <c r="AE58" s="150"/>
      <c r="AF58" s="150"/>
    </row>
    <row r="59" spans="1:32" s="145" customFormat="1">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D59" s="150"/>
      <c r="AE59" s="150"/>
      <c r="AF59" s="150"/>
    </row>
    <row r="60" spans="1:32" s="145" customFormat="1">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D60" s="150"/>
      <c r="AE60" s="150"/>
      <c r="AF60" s="150"/>
    </row>
    <row r="61" spans="1:32" s="145" customForma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D61" s="150"/>
      <c r="AE61" s="150"/>
      <c r="AF61" s="150"/>
    </row>
    <row r="62" spans="1:32" s="145" customFormat="1">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D62" s="150"/>
      <c r="AE62" s="150"/>
      <c r="AF62" s="150"/>
    </row>
    <row r="63" spans="1:32" s="145" customFormat="1">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D63" s="150"/>
      <c r="AE63" s="150"/>
      <c r="AF63" s="150"/>
    </row>
    <row r="64" spans="1:32" s="145" customFormat="1">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D64" s="150"/>
      <c r="AE64" s="150"/>
      <c r="AF64" s="150"/>
    </row>
    <row r="65" spans="1:32" s="145" customFormat="1">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D65" s="150"/>
      <c r="AE65" s="150"/>
      <c r="AF65" s="150"/>
    </row>
    <row r="66" spans="1:32" s="145" customFormat="1">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D66" s="150"/>
      <c r="AE66" s="150"/>
      <c r="AF66" s="150"/>
    </row>
    <row r="67" spans="1:32" s="145" customFormat="1">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D67" s="150"/>
      <c r="AE67" s="150"/>
      <c r="AF67" s="150"/>
    </row>
    <row r="68" spans="1:32" s="145" customFormat="1">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D68" s="150"/>
      <c r="AE68" s="150"/>
      <c r="AF68" s="150"/>
    </row>
    <row r="69" spans="1:32" s="145" customForma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D69" s="150"/>
      <c r="AE69" s="150"/>
      <c r="AF69" s="150"/>
    </row>
    <row r="70" spans="1:32" s="145" customForma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D70" s="150"/>
      <c r="AE70" s="150"/>
      <c r="AF70" s="150"/>
    </row>
    <row r="71" spans="1:32" s="145" customForma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D71" s="150"/>
      <c r="AE71" s="150"/>
      <c r="AF71" s="150"/>
    </row>
    <row r="72" spans="1:32" s="145" customForma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D72" s="150"/>
      <c r="AE72" s="150"/>
      <c r="AF72" s="150"/>
    </row>
    <row r="73" spans="1:32" s="145" customFormat="1">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D73" s="150"/>
      <c r="AE73" s="150"/>
      <c r="AF73" s="150"/>
    </row>
    <row r="74" spans="1:32" s="145" customFormat="1">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D74" s="150"/>
      <c r="AE74" s="150"/>
      <c r="AF74" s="150"/>
    </row>
    <row r="75" spans="1:32" s="145" customFormat="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D75" s="150"/>
      <c r="AE75" s="150"/>
      <c r="AF75" s="150"/>
    </row>
    <row r="76" spans="1:32" s="145" customForma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D76" s="150"/>
      <c r="AE76" s="150"/>
      <c r="AF76" s="150"/>
    </row>
    <row r="77" spans="1:32" s="145" customFormat="1">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D77" s="150"/>
      <c r="AE77" s="150"/>
      <c r="AF77" s="150"/>
    </row>
    <row r="78" spans="1:32" s="145" customFormat="1">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D78" s="150"/>
      <c r="AE78" s="150"/>
      <c r="AF78" s="150"/>
    </row>
    <row r="79" spans="1:32" s="145" customFormat="1">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D79" s="150"/>
      <c r="AE79" s="150"/>
      <c r="AF79" s="150"/>
    </row>
    <row r="80" spans="1:32" s="145" customFormat="1">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D80" s="150"/>
      <c r="AE80" s="150"/>
      <c r="AF80" s="150"/>
    </row>
    <row r="81" spans="1:32" s="145" customFormat="1">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D81" s="150"/>
      <c r="AE81" s="150"/>
      <c r="AF81" s="150"/>
    </row>
    <row r="82" spans="1:32" s="145" customFormat="1">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D82" s="150"/>
      <c r="AE82" s="150"/>
      <c r="AF82" s="150"/>
    </row>
    <row r="83" spans="1:32" s="145" customFormat="1">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D83" s="150"/>
      <c r="AE83" s="150"/>
      <c r="AF83" s="150"/>
    </row>
    <row r="84" spans="1:32" s="145" customFormat="1">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D84" s="150"/>
      <c r="AE84" s="150"/>
      <c r="AF84" s="150"/>
    </row>
    <row r="85" spans="1:32" s="145" customFormat="1">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D85" s="150"/>
      <c r="AE85" s="150"/>
      <c r="AF85" s="150"/>
    </row>
    <row r="86" spans="1:32" s="145" customFormat="1">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D86" s="150"/>
      <c r="AE86" s="150"/>
      <c r="AF86" s="150"/>
    </row>
    <row r="87" spans="1:32" s="145" customFormat="1">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D87" s="150"/>
      <c r="AE87" s="150"/>
      <c r="AF87" s="150"/>
    </row>
    <row r="88" spans="1:32" s="145" customFormat="1">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D88" s="150"/>
      <c r="AE88" s="150"/>
      <c r="AF88" s="150"/>
    </row>
    <row r="89" spans="1:32" s="145" customFormat="1">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D89" s="150"/>
      <c r="AE89" s="150"/>
      <c r="AF89" s="150"/>
    </row>
    <row r="90" spans="1:32" s="145" customFormat="1">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D90" s="150"/>
      <c r="AE90" s="150"/>
      <c r="AF90" s="150"/>
    </row>
    <row r="91" spans="1:32" s="145" customFormat="1">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D91" s="150"/>
      <c r="AE91" s="150"/>
      <c r="AF91" s="150"/>
    </row>
    <row r="92" spans="1:32" s="145" customFormat="1">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D92" s="150"/>
      <c r="AE92" s="150"/>
      <c r="AF92" s="150"/>
    </row>
    <row r="93" spans="1:32" s="145" customFormat="1">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D93" s="150"/>
      <c r="AE93" s="150"/>
      <c r="AF93" s="150"/>
    </row>
    <row r="94" spans="1:32" s="145" customFormat="1">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D94" s="150"/>
      <c r="AE94" s="150"/>
      <c r="AF94" s="150"/>
    </row>
    <row r="95" spans="1:32" s="145" customFormat="1">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D95" s="150"/>
      <c r="AE95" s="150"/>
      <c r="AF95" s="150"/>
    </row>
    <row r="96" spans="1:32" s="145" customFormat="1">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D96" s="150"/>
      <c r="AE96" s="150"/>
      <c r="AF96" s="150"/>
    </row>
    <row r="97" spans="1:32" s="145" customFormat="1">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D97" s="150"/>
      <c r="AE97" s="150"/>
      <c r="AF97" s="150"/>
    </row>
    <row r="98" spans="1:32" s="145" customFormat="1">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D98" s="150"/>
      <c r="AE98" s="150"/>
      <c r="AF98" s="150"/>
    </row>
    <row r="99" spans="1:32" s="145" customFormat="1">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D99" s="150"/>
      <c r="AE99" s="150"/>
      <c r="AF99" s="150"/>
    </row>
    <row r="100" spans="1:32" s="145" customFormat="1">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D100" s="150"/>
      <c r="AE100" s="150"/>
      <c r="AF100" s="150"/>
    </row>
    <row r="101" spans="1:32" s="145" customFormat="1">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D101" s="150"/>
      <c r="AE101" s="150"/>
      <c r="AF101" s="150"/>
    </row>
    <row r="102" spans="1:32" s="145" customFormat="1">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D102" s="150"/>
      <c r="AE102" s="150"/>
      <c r="AF102" s="150"/>
    </row>
    <row r="103" spans="1:32" s="145" customFormat="1">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D103" s="150"/>
      <c r="AE103" s="150"/>
      <c r="AF103" s="150"/>
    </row>
    <row r="104" spans="1:32" s="145" customFormat="1">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D104" s="150"/>
      <c r="AE104" s="150"/>
      <c r="AF104" s="150"/>
    </row>
    <row r="105" spans="1:32" s="145" customFormat="1">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D105" s="150"/>
      <c r="AE105" s="150"/>
      <c r="AF105" s="150"/>
    </row>
    <row r="106" spans="1:32" s="145" customFormat="1">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D106" s="150"/>
      <c r="AE106" s="150"/>
      <c r="AF106" s="150"/>
    </row>
    <row r="107" spans="1:32" s="145" customFormat="1">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D107" s="150"/>
      <c r="AE107" s="150"/>
      <c r="AF107" s="150"/>
    </row>
    <row r="108" spans="1:32" s="145" customFormat="1">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D108" s="150"/>
      <c r="AE108" s="150"/>
      <c r="AF108" s="150"/>
    </row>
    <row r="109" spans="1:32" s="145" customFormat="1">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D109" s="150"/>
      <c r="AE109" s="150"/>
      <c r="AF109" s="150"/>
    </row>
    <row r="110" spans="1:32" s="145" customFormat="1">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D110" s="150"/>
      <c r="AE110" s="150"/>
      <c r="AF110" s="150"/>
    </row>
    <row r="111" spans="1:32" s="145" customFormat="1">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D111" s="150"/>
      <c r="AE111" s="150"/>
      <c r="AF111" s="150"/>
    </row>
    <row r="112" spans="1:32" s="145" customFormat="1">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D112" s="150"/>
      <c r="AE112" s="150"/>
      <c r="AF112" s="150"/>
    </row>
    <row r="113" spans="1:32" s="145" customFormat="1">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D113" s="150"/>
      <c r="AE113" s="150"/>
      <c r="AF113" s="150"/>
    </row>
    <row r="114" spans="1:32" s="145" customFormat="1">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D114" s="150"/>
      <c r="AE114" s="150"/>
      <c r="AF114" s="150"/>
    </row>
    <row r="115" spans="1:32" s="145" customFormat="1">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D115" s="150"/>
      <c r="AE115" s="150"/>
      <c r="AF115" s="150"/>
    </row>
    <row r="116" spans="1:32" s="145" customFormat="1">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D116" s="150"/>
      <c r="AE116" s="150"/>
      <c r="AF116" s="150"/>
    </row>
    <row r="117" spans="1:32" s="145" customForma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D117" s="150"/>
      <c r="AE117" s="150"/>
      <c r="AF117" s="150"/>
    </row>
    <row r="118" spans="1:32" s="145" customFormat="1">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D118" s="150"/>
      <c r="AE118" s="150"/>
      <c r="AF118" s="150"/>
    </row>
    <row r="119" spans="1:32" s="145" customFormat="1">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D119" s="150"/>
      <c r="AE119" s="150"/>
      <c r="AF119" s="150"/>
    </row>
    <row r="120" spans="1:32" s="145" customFormat="1">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D120" s="150"/>
      <c r="AE120" s="150"/>
      <c r="AF120" s="150"/>
    </row>
    <row r="121" spans="1:32" s="145" customFormat="1">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D121" s="150"/>
      <c r="AE121" s="150"/>
      <c r="AF121" s="150"/>
    </row>
    <row r="122" spans="1:32" s="145" customFormat="1">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D122" s="150"/>
      <c r="AE122" s="150"/>
      <c r="AF122" s="150"/>
    </row>
    <row r="123" spans="1:32" s="145" customFormat="1">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D123" s="150"/>
      <c r="AE123" s="150"/>
      <c r="AF123" s="150"/>
    </row>
    <row r="124" spans="1:32" s="145" customFormat="1">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D124" s="150"/>
      <c r="AE124" s="150"/>
      <c r="AF124" s="150"/>
    </row>
    <row r="125" spans="1:32" s="145" customFormat="1">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D125" s="150"/>
      <c r="AE125" s="150"/>
      <c r="AF125" s="150"/>
    </row>
    <row r="126" spans="1:32" s="145" customFormat="1">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D126" s="150"/>
      <c r="AE126" s="150"/>
      <c r="AF126" s="150"/>
    </row>
    <row r="127" spans="1:32" s="145" customFormat="1">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D127" s="150"/>
      <c r="AE127" s="150"/>
      <c r="AF127" s="150"/>
    </row>
    <row r="128" spans="1:32" s="145" customFormat="1">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D128" s="150"/>
      <c r="AE128" s="150"/>
      <c r="AF128" s="150"/>
    </row>
    <row r="129" spans="1:32" s="145" customFormat="1">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D129" s="150"/>
      <c r="AE129" s="150"/>
      <c r="AF129" s="150"/>
    </row>
    <row r="130" spans="1:32" s="145" customFormat="1">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D130" s="150"/>
      <c r="AE130" s="150"/>
      <c r="AF130" s="150"/>
    </row>
    <row r="131" spans="1:32" s="145" customFormat="1">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D131" s="150"/>
      <c r="AE131" s="150"/>
      <c r="AF131" s="150"/>
    </row>
    <row r="132" spans="1:32" s="145" customFormat="1">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D132" s="150"/>
      <c r="AE132" s="150"/>
      <c r="AF132" s="150"/>
    </row>
    <row r="133" spans="1:32" s="145" customFormat="1">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D133" s="150"/>
      <c r="AE133" s="150"/>
      <c r="AF133" s="150"/>
    </row>
    <row r="134" spans="1:32" s="145" customFormat="1">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D134" s="150"/>
      <c r="AE134" s="150"/>
      <c r="AF134" s="150"/>
    </row>
    <row r="135" spans="1:32" s="145" customFormat="1">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D135" s="150"/>
      <c r="AE135" s="150"/>
      <c r="AF135" s="150"/>
    </row>
    <row r="136" spans="1:32" s="145" customFormat="1">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D136" s="150"/>
      <c r="AE136" s="150"/>
      <c r="AF136" s="150"/>
    </row>
    <row r="137" spans="1:32" s="145" customFormat="1">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D137" s="150"/>
      <c r="AE137" s="150"/>
      <c r="AF137" s="150"/>
    </row>
    <row r="138" spans="1:32" s="145" customFormat="1">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D138" s="150"/>
      <c r="AE138" s="150"/>
      <c r="AF138" s="150"/>
    </row>
    <row r="139" spans="1:32" s="145" customFormat="1">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D139" s="150"/>
      <c r="AE139" s="150"/>
      <c r="AF139" s="150"/>
    </row>
    <row r="140" spans="1:32" s="145" customFormat="1">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D140" s="150"/>
      <c r="AE140" s="150"/>
      <c r="AF140" s="150"/>
    </row>
    <row r="141" spans="1:32" s="145" customFormat="1">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D141" s="150"/>
      <c r="AE141" s="150"/>
      <c r="AF141" s="150"/>
    </row>
    <row r="142" spans="1:32" s="145" customFormat="1">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D142" s="150"/>
      <c r="AE142" s="150"/>
      <c r="AF142" s="150"/>
    </row>
    <row r="143" spans="1:32" s="145" customFormat="1">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D143" s="150"/>
      <c r="AE143" s="150"/>
      <c r="AF143" s="150"/>
    </row>
    <row r="144" spans="1:32" s="145" customFormat="1">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D144" s="150"/>
      <c r="AE144" s="150"/>
      <c r="AF144" s="150"/>
    </row>
    <row r="145" spans="1:32" s="145" customFormat="1">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D145" s="150"/>
      <c r="AE145" s="150"/>
      <c r="AF145" s="150"/>
    </row>
    <row r="146" spans="1:32" s="145" customFormat="1">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D146" s="150"/>
      <c r="AE146" s="150"/>
      <c r="AF146" s="150"/>
    </row>
    <row r="147" spans="1:32" s="145" customFormat="1">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D147" s="150"/>
      <c r="AE147" s="150"/>
      <c r="AF147" s="150"/>
    </row>
    <row r="148" spans="1:32" s="145" customFormat="1">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D148" s="150"/>
      <c r="AE148" s="150"/>
      <c r="AF148" s="150"/>
    </row>
    <row r="149" spans="1:32" s="145" customFormat="1">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D149" s="150"/>
      <c r="AE149" s="150"/>
      <c r="AF149" s="150"/>
    </row>
    <row r="150" spans="1:32" s="145" customFormat="1">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D150" s="150"/>
      <c r="AE150" s="150"/>
      <c r="AF150" s="150"/>
    </row>
    <row r="151" spans="1:32" s="145" customFormat="1">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D151" s="150"/>
      <c r="AE151" s="150"/>
      <c r="AF151" s="150"/>
    </row>
    <row r="152" spans="1:32" s="145" customFormat="1">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D152" s="150"/>
      <c r="AE152" s="150"/>
      <c r="AF152" s="150"/>
    </row>
    <row r="153" spans="1:32" s="145" customFormat="1">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D153" s="150"/>
      <c r="AE153" s="150"/>
      <c r="AF153" s="150"/>
    </row>
    <row r="154" spans="1:32" s="145" customFormat="1">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D154" s="150"/>
      <c r="AE154" s="150"/>
      <c r="AF154" s="150"/>
    </row>
    <row r="155" spans="1:32" s="145" customFormat="1">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D155" s="150"/>
      <c r="AE155" s="150"/>
      <c r="AF155" s="150"/>
    </row>
    <row r="156" spans="1:32" s="145" customFormat="1">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D156" s="150"/>
      <c r="AE156" s="150"/>
      <c r="AF156" s="150"/>
    </row>
    <row r="157" spans="1:32" s="145" customFormat="1">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D157" s="150"/>
      <c r="AE157" s="150"/>
      <c r="AF157" s="150"/>
    </row>
    <row r="158" spans="1:32" s="145" customFormat="1">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D158" s="150"/>
      <c r="AE158" s="150"/>
      <c r="AF158" s="150"/>
    </row>
    <row r="159" spans="1:32" s="145" customFormat="1">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D159" s="150"/>
      <c r="AE159" s="150"/>
      <c r="AF159" s="150"/>
    </row>
    <row r="160" spans="1:32" s="145" customFormat="1">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D160" s="150"/>
      <c r="AE160" s="150"/>
      <c r="AF160" s="150"/>
    </row>
    <row r="161" spans="1:32" s="145" customFormat="1">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D161" s="150"/>
      <c r="AE161" s="150"/>
      <c r="AF161" s="150"/>
    </row>
    <row r="162" spans="1:32" s="145" customFormat="1">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D162" s="150"/>
      <c r="AE162" s="150"/>
      <c r="AF162" s="150"/>
    </row>
    <row r="163" spans="1:32" s="145" customFormat="1">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D163" s="150"/>
      <c r="AE163" s="150"/>
      <c r="AF163" s="150"/>
    </row>
    <row r="164" spans="1:32" s="145" customFormat="1">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D164" s="150"/>
      <c r="AE164" s="150"/>
      <c r="AF164" s="150"/>
    </row>
    <row r="165" spans="1:32" s="145" customForma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D165" s="150"/>
      <c r="AE165" s="150"/>
      <c r="AF165" s="150"/>
    </row>
    <row r="166" spans="1:32" s="145" customFormat="1">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D166" s="150"/>
      <c r="AE166" s="150"/>
      <c r="AF166" s="150"/>
    </row>
    <row r="167" spans="1:32" s="145" customFormat="1">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D167" s="150"/>
      <c r="AE167" s="150"/>
      <c r="AF167" s="150"/>
    </row>
    <row r="168" spans="1:32" s="145" customFormat="1">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D168" s="150"/>
      <c r="AE168" s="150"/>
      <c r="AF168" s="150"/>
    </row>
    <row r="169" spans="1:32" s="145" customFormat="1">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D169" s="150"/>
      <c r="AE169" s="150"/>
      <c r="AF169" s="150"/>
    </row>
    <row r="170" spans="1:32" s="145" customFormat="1">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D170" s="150"/>
      <c r="AE170" s="150"/>
      <c r="AF170" s="150"/>
    </row>
    <row r="171" spans="1:32" s="145" customFormat="1">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D171" s="150"/>
      <c r="AE171" s="150"/>
      <c r="AF171" s="150"/>
    </row>
    <row r="172" spans="1:32" s="145" customFormat="1">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D172" s="150"/>
      <c r="AE172" s="150"/>
      <c r="AF172" s="150"/>
    </row>
    <row r="173" spans="1:32" s="145" customFormat="1">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D173" s="150"/>
      <c r="AE173" s="150"/>
      <c r="AF173" s="150"/>
    </row>
    <row r="174" spans="1:32" s="145" customFormat="1">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D174" s="150"/>
      <c r="AE174" s="150"/>
      <c r="AF174" s="150"/>
    </row>
    <row r="175" spans="1:32" s="145" customFormat="1">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D175" s="150"/>
      <c r="AE175" s="150"/>
      <c r="AF175" s="150"/>
    </row>
    <row r="176" spans="1:32" s="145" customFormat="1">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D176" s="150"/>
      <c r="AE176" s="150"/>
      <c r="AF176" s="150"/>
    </row>
    <row r="177" spans="1:32" s="145" customFormat="1">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D177" s="150"/>
      <c r="AE177" s="150"/>
      <c r="AF177" s="150"/>
    </row>
    <row r="178" spans="1:32" s="145" customFormat="1">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D178" s="150"/>
      <c r="AE178" s="150"/>
      <c r="AF178" s="150"/>
    </row>
    <row r="179" spans="1:32" s="145" customFormat="1">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D179" s="150"/>
      <c r="AE179" s="150"/>
      <c r="AF179" s="150"/>
    </row>
    <row r="180" spans="1:32" s="145" customFormat="1">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D180" s="150"/>
      <c r="AE180" s="150"/>
      <c r="AF180" s="150"/>
    </row>
    <row r="181" spans="1:32" s="145" customFormat="1">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D181" s="150"/>
      <c r="AE181" s="150"/>
      <c r="AF181" s="150"/>
    </row>
    <row r="182" spans="1:32" s="145" customFormat="1">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D182" s="150"/>
      <c r="AE182" s="150"/>
      <c r="AF182" s="150"/>
    </row>
    <row r="183" spans="1:32" s="145" customFormat="1">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D183" s="150"/>
      <c r="AE183" s="150"/>
      <c r="AF183" s="150"/>
    </row>
    <row r="184" spans="1:32" s="145" customFormat="1">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D184" s="150"/>
      <c r="AE184" s="150"/>
      <c r="AF184" s="150"/>
    </row>
    <row r="185" spans="1:32" s="145" customFormat="1">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D185" s="150"/>
      <c r="AE185" s="150"/>
      <c r="AF185" s="150"/>
    </row>
    <row r="186" spans="1:32" s="145" customFormat="1">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D186" s="150"/>
      <c r="AE186" s="150"/>
      <c r="AF186" s="150"/>
    </row>
    <row r="187" spans="1:32" s="145" customFormat="1">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D187" s="150"/>
      <c r="AE187" s="150"/>
      <c r="AF187" s="150"/>
    </row>
    <row r="188" spans="1:32" s="145" customFormat="1">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D188" s="150"/>
      <c r="AE188" s="150"/>
      <c r="AF188" s="150"/>
    </row>
    <row r="189" spans="1:32" s="145" customFormat="1">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D189" s="150"/>
      <c r="AE189" s="150"/>
      <c r="AF189" s="150"/>
    </row>
    <row r="190" spans="1:32" s="145" customFormat="1">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D190" s="150"/>
      <c r="AE190" s="150"/>
      <c r="AF190" s="150"/>
    </row>
    <row r="191" spans="1:32" s="145" customFormat="1">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D191" s="150"/>
      <c r="AE191" s="150"/>
      <c r="AF191" s="150"/>
    </row>
    <row r="192" spans="1:32" s="145" customFormat="1">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D192" s="150"/>
      <c r="AE192" s="150"/>
      <c r="AF192" s="150"/>
    </row>
    <row r="193" spans="1:32" s="145" customFormat="1">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D193" s="150"/>
      <c r="AE193" s="150"/>
      <c r="AF193" s="150"/>
    </row>
    <row r="194" spans="1:32" s="145" customFormat="1">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D194" s="150"/>
      <c r="AE194" s="150"/>
      <c r="AF194" s="150"/>
    </row>
    <row r="195" spans="1:32" s="145" customFormat="1">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D195" s="150"/>
      <c r="AE195" s="150"/>
      <c r="AF195" s="150"/>
    </row>
    <row r="196" spans="1:32" s="145" customFormat="1">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D196" s="150"/>
      <c r="AE196" s="150"/>
      <c r="AF196" s="150"/>
    </row>
    <row r="197" spans="1:32" s="145" customFormat="1">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D197" s="150"/>
      <c r="AE197" s="150"/>
      <c r="AF197" s="150"/>
    </row>
    <row r="198" spans="1:32" s="145" customFormat="1">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D198" s="150"/>
      <c r="AE198" s="150"/>
      <c r="AF198" s="150"/>
    </row>
    <row r="199" spans="1:32" s="145" customFormat="1">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D199" s="150"/>
      <c r="AE199" s="150"/>
      <c r="AF199" s="150"/>
    </row>
    <row r="200" spans="1:32" s="145" customFormat="1">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D200" s="150"/>
      <c r="AE200" s="150"/>
      <c r="AF200" s="150"/>
    </row>
    <row r="201" spans="1:32" s="145" customFormat="1">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c r="AD201" s="150"/>
      <c r="AE201" s="150"/>
      <c r="AF201" s="150"/>
    </row>
    <row r="202" spans="1:32" s="145" customFormat="1">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D202" s="150"/>
      <c r="AE202" s="150"/>
      <c r="AF202" s="150"/>
    </row>
    <row r="203" spans="1:32" s="145" customFormat="1">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D203" s="150"/>
      <c r="AE203" s="150"/>
      <c r="AF203" s="150"/>
    </row>
    <row r="204" spans="1:32" s="145" customFormat="1">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D204" s="150"/>
      <c r="AE204" s="150"/>
      <c r="AF204" s="150"/>
    </row>
    <row r="205" spans="1:32" s="145" customFormat="1">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D205" s="150"/>
      <c r="AE205" s="150"/>
      <c r="AF205" s="150"/>
    </row>
    <row r="206" spans="1:32" s="145" customFormat="1">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D206" s="150"/>
      <c r="AE206" s="150"/>
      <c r="AF206" s="150"/>
    </row>
    <row r="207" spans="1:32" s="145" customFormat="1">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D207" s="150"/>
      <c r="AE207" s="150"/>
      <c r="AF207" s="150"/>
    </row>
    <row r="208" spans="1:32" s="145" customFormat="1">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D208" s="150"/>
      <c r="AE208" s="150"/>
      <c r="AF208" s="150"/>
    </row>
    <row r="209" spans="1:32" s="145" customFormat="1">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D209" s="150"/>
      <c r="AE209" s="150"/>
      <c r="AF209" s="150"/>
    </row>
    <row r="210" spans="1:32" s="145" customFormat="1">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D210" s="150"/>
      <c r="AE210" s="150"/>
      <c r="AF210" s="150"/>
    </row>
    <row r="211" spans="1:32" s="145" customFormat="1">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D211" s="150"/>
      <c r="AE211" s="150"/>
      <c r="AF211" s="150"/>
    </row>
    <row r="212" spans="1:32" s="145" customFormat="1">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D212" s="150"/>
      <c r="AE212" s="150"/>
      <c r="AF212" s="150"/>
    </row>
    <row r="213" spans="1:32" s="145" customFormat="1">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D213" s="150"/>
      <c r="AE213" s="150"/>
      <c r="AF213" s="150"/>
    </row>
    <row r="214" spans="1:32" s="145" customFormat="1">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D214" s="150"/>
      <c r="AE214" s="150"/>
      <c r="AF214" s="150"/>
    </row>
    <row r="215" spans="1:32" s="145" customFormat="1">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D215" s="150"/>
      <c r="AE215" s="150"/>
      <c r="AF215" s="150"/>
    </row>
    <row r="216" spans="1:32" s="145" customFormat="1">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D216" s="150"/>
      <c r="AE216" s="150"/>
      <c r="AF216" s="150"/>
    </row>
    <row r="217" spans="1:32" s="145" customFormat="1">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D217" s="150"/>
      <c r="AE217" s="150"/>
      <c r="AF217" s="150"/>
    </row>
    <row r="218" spans="1:32" s="145" customFormat="1">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D218" s="150"/>
      <c r="AE218" s="150"/>
      <c r="AF218" s="150"/>
    </row>
    <row r="219" spans="1:32" s="145" customFormat="1">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D219" s="150"/>
      <c r="AE219" s="150"/>
      <c r="AF219" s="150"/>
    </row>
    <row r="220" spans="1:32" s="145" customFormat="1">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D220" s="150"/>
      <c r="AE220" s="150"/>
      <c r="AF220" s="150"/>
    </row>
    <row r="221" spans="1:32" s="145" customFormat="1">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D221" s="150"/>
      <c r="AE221" s="150"/>
      <c r="AF221" s="150"/>
    </row>
    <row r="222" spans="1:32" s="145" customFormat="1">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D222" s="150"/>
      <c r="AE222" s="150"/>
      <c r="AF222" s="150"/>
    </row>
    <row r="223" spans="1:32" s="145" customFormat="1">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D223" s="150"/>
      <c r="AE223" s="150"/>
      <c r="AF223" s="150"/>
    </row>
    <row r="224" spans="1:32" s="145" customFormat="1">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D224" s="150"/>
      <c r="AE224" s="150"/>
      <c r="AF224" s="150"/>
    </row>
    <row r="225" spans="1:32" s="145" customFormat="1">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D225" s="150"/>
      <c r="AE225" s="150"/>
      <c r="AF225" s="150"/>
    </row>
    <row r="226" spans="1:32" s="145" customFormat="1">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D226" s="150"/>
      <c r="AE226" s="150"/>
      <c r="AF226" s="150"/>
    </row>
    <row r="227" spans="1:32" s="145" customFormat="1">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D227" s="150"/>
      <c r="AE227" s="150"/>
      <c r="AF227" s="150"/>
    </row>
    <row r="228" spans="1:32" s="145" customFormat="1">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D228" s="150"/>
      <c r="AE228" s="150"/>
      <c r="AF228" s="150"/>
    </row>
    <row r="229" spans="1:32" s="145" customFormat="1">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D229" s="150"/>
      <c r="AE229" s="150"/>
      <c r="AF229" s="150"/>
    </row>
    <row r="230" spans="1:32" s="145" customFormat="1">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D230" s="150"/>
      <c r="AE230" s="150"/>
      <c r="AF230" s="150"/>
    </row>
    <row r="231" spans="1:32" s="145" customFormat="1">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D231" s="150"/>
      <c r="AE231" s="150"/>
      <c r="AF231" s="150"/>
    </row>
    <row r="232" spans="1:32" s="145" customFormat="1">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D232" s="150"/>
      <c r="AE232" s="150"/>
      <c r="AF232" s="150"/>
    </row>
    <row r="233" spans="1:32" s="145" customFormat="1">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D233" s="150"/>
      <c r="AE233" s="150"/>
      <c r="AF233" s="150"/>
    </row>
    <row r="234" spans="1:32" s="145" customFormat="1">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D234" s="150"/>
      <c r="AE234" s="150"/>
      <c r="AF234" s="150"/>
    </row>
    <row r="235" spans="1:32" s="145" customFormat="1">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D235" s="150"/>
      <c r="AE235" s="150"/>
      <c r="AF235" s="150"/>
    </row>
    <row r="236" spans="1:32" s="145" customFormat="1">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D236" s="150"/>
      <c r="AE236" s="150"/>
      <c r="AF236" s="150"/>
    </row>
    <row r="237" spans="1:32" s="145" customFormat="1">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D237" s="150"/>
      <c r="AE237" s="150"/>
      <c r="AF237" s="150"/>
    </row>
    <row r="238" spans="1:32" s="145" customFormat="1">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D238" s="150"/>
      <c r="AE238" s="150"/>
      <c r="AF238" s="150"/>
    </row>
    <row r="239" spans="1:32" s="145" customFormat="1">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D239" s="150"/>
      <c r="AE239" s="150"/>
      <c r="AF239" s="150"/>
    </row>
    <row r="240" spans="1:32" s="145" customFormat="1">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D240" s="150"/>
      <c r="AE240" s="150"/>
      <c r="AF240" s="150"/>
    </row>
    <row r="241" spans="1:32" s="145" customFormat="1">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D241" s="150"/>
      <c r="AE241" s="150"/>
      <c r="AF241" s="150"/>
    </row>
    <row r="242" spans="1:32" s="145" customFormat="1">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D242" s="150"/>
      <c r="AE242" s="150"/>
      <c r="AF242" s="150"/>
    </row>
    <row r="243" spans="1:32" s="145" customFormat="1">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D243" s="150"/>
      <c r="AE243" s="150"/>
      <c r="AF243" s="150"/>
    </row>
    <row r="244" spans="1:32" s="145" customFormat="1">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D244" s="150"/>
      <c r="AE244" s="150"/>
      <c r="AF244" s="150"/>
    </row>
    <row r="245" spans="1:32" s="145" customFormat="1">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D245" s="150"/>
      <c r="AE245" s="150"/>
      <c r="AF245" s="150"/>
    </row>
    <row r="246" spans="1:32" s="145" customFormat="1">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D246" s="150"/>
      <c r="AE246" s="150"/>
      <c r="AF246" s="150"/>
    </row>
    <row r="247" spans="1:32" s="145" customFormat="1">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D247" s="150"/>
      <c r="AE247" s="150"/>
      <c r="AF247" s="150"/>
    </row>
    <row r="248" spans="1:32" s="145" customFormat="1">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D248" s="150"/>
      <c r="AE248" s="150"/>
      <c r="AF248" s="150"/>
    </row>
    <row r="249" spans="1:32" s="145" customFormat="1">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D249" s="150"/>
      <c r="AE249" s="150"/>
      <c r="AF249" s="150"/>
    </row>
    <row r="250" spans="1:32" s="145" customFormat="1">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D250" s="150"/>
      <c r="AE250" s="150"/>
      <c r="AF250" s="150"/>
    </row>
    <row r="251" spans="1:32" s="145" customFormat="1">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D251" s="150"/>
      <c r="AE251" s="150"/>
      <c r="AF251" s="150"/>
    </row>
    <row r="252" spans="1:32" s="145" customFormat="1">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D252" s="150"/>
      <c r="AE252" s="150"/>
      <c r="AF252" s="150"/>
    </row>
    <row r="253" spans="1:32" s="145" customFormat="1">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D253" s="150"/>
      <c r="AE253" s="150"/>
      <c r="AF253" s="150"/>
    </row>
    <row r="254" spans="1:32" s="145" customFormat="1">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D254" s="150"/>
      <c r="AE254" s="150"/>
      <c r="AF254" s="150"/>
    </row>
    <row r="255" spans="1:32" s="145" customFormat="1">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D255" s="150"/>
      <c r="AE255" s="150"/>
      <c r="AF255" s="150"/>
    </row>
    <row r="256" spans="1:32" s="145" customFormat="1">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D256" s="150"/>
      <c r="AE256" s="150"/>
      <c r="AF256" s="150"/>
    </row>
    <row r="257" spans="1:32" s="145" customFormat="1">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D257" s="150"/>
      <c r="AE257" s="150"/>
      <c r="AF257" s="150"/>
    </row>
    <row r="258" spans="1:32" s="145" customFormat="1">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D258" s="150"/>
      <c r="AE258" s="150"/>
      <c r="AF258" s="150"/>
    </row>
    <row r="259" spans="1:32" s="145" customFormat="1">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D259" s="150"/>
      <c r="AE259" s="150"/>
      <c r="AF259" s="150"/>
    </row>
    <row r="260" spans="1:32" s="145" customFormat="1">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D260" s="150"/>
      <c r="AE260" s="150"/>
      <c r="AF260" s="150"/>
    </row>
    <row r="261" spans="1:32" s="145" customFormat="1">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D261" s="150"/>
      <c r="AE261" s="150"/>
      <c r="AF261" s="150"/>
    </row>
    <row r="262" spans="1:32" s="145" customFormat="1">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D262" s="150"/>
      <c r="AE262" s="150"/>
      <c r="AF262" s="150"/>
    </row>
    <row r="263" spans="1:32" s="145" customFormat="1">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D263" s="150"/>
      <c r="AE263" s="150"/>
      <c r="AF263" s="150"/>
    </row>
    <row r="264" spans="1:32" s="145" customFormat="1">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D264" s="150"/>
      <c r="AE264" s="150"/>
      <c r="AF264" s="150"/>
    </row>
    <row r="265" spans="1:32" s="145" customFormat="1">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D265" s="150"/>
      <c r="AE265" s="150"/>
      <c r="AF265" s="150"/>
    </row>
    <row r="266" spans="1:32" s="145" customFormat="1">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D266" s="150"/>
      <c r="AE266" s="150"/>
      <c r="AF266" s="150"/>
    </row>
    <row r="267" spans="1:32" s="145" customFormat="1">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D267" s="150"/>
      <c r="AE267" s="150"/>
      <c r="AF267" s="150"/>
    </row>
    <row r="268" spans="1:32" s="145" customFormat="1">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D268" s="150"/>
      <c r="AE268" s="150"/>
      <c r="AF268" s="150"/>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9" fitToHeight="0" orientation="portrait" r:id="rId1"/>
  <headerFooter>
    <oddHeader>&amp;A</oddHeader>
  </headerFooter>
  <ignoredErrors>
    <ignoredError sqref="AM31:AO3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B462"/>
  <sheetViews>
    <sheetView view="pageBreakPreview" zoomScaleNormal="100" zoomScaleSheetLayoutView="100" workbookViewId="0">
      <pane xSplit="1" topLeftCell="B1" activePane="topRight" state="frozen"/>
      <selection pane="topRight" sqref="A1:A1048576"/>
    </sheetView>
  </sheetViews>
  <sheetFormatPr defaultRowHeight="13.5" outlineLevelCol="1"/>
  <cols>
    <col min="1" max="2" width="45.7109375" style="2" customWidth="1"/>
    <col min="3" max="3" width="3.5703125" style="2" hidden="1" customWidth="1"/>
    <col min="4" max="21" width="15.5703125" style="2" hidden="1" customWidth="1" outlineLevel="1"/>
    <col min="22" max="35" width="15.7109375" style="2" hidden="1" customWidth="1" outlineLevel="1"/>
    <col min="36" max="36" width="15.7109375" style="2" customWidth="1" collapsed="1"/>
    <col min="37" max="39" width="15.7109375" style="2" customWidth="1"/>
    <col min="40" max="40" width="15.7109375" style="33" customWidth="1"/>
    <col min="41" max="43" width="15.7109375" style="2" customWidth="1"/>
    <col min="44" max="44" width="15.7109375" style="146" customWidth="1"/>
    <col min="45" max="80" width="9.140625" style="146"/>
    <col min="81" max="16384" width="9.140625" style="2"/>
  </cols>
  <sheetData>
    <row r="1" spans="1:80" ht="19.5" customHeight="1">
      <c r="A1" s="660" t="s">
        <v>785</v>
      </c>
      <c r="B1" s="660" t="s">
        <v>786</v>
      </c>
      <c r="C1" s="660"/>
      <c r="D1" s="519"/>
      <c r="E1" s="519"/>
      <c r="F1" s="519"/>
      <c r="G1" s="519"/>
      <c r="H1" s="519"/>
      <c r="I1" s="519"/>
      <c r="J1" s="519"/>
      <c r="K1" s="519"/>
      <c r="L1" s="519"/>
      <c r="M1" s="519"/>
      <c r="N1" s="519"/>
      <c r="O1" s="519"/>
      <c r="P1" s="390"/>
      <c r="Q1" s="390"/>
      <c r="R1" s="390"/>
      <c r="S1" s="390"/>
      <c r="T1" s="390"/>
      <c r="U1" s="390"/>
      <c r="V1" s="390"/>
      <c r="W1" s="390"/>
      <c r="X1" s="519"/>
      <c r="Y1" s="519"/>
      <c r="Z1" s="519"/>
      <c r="AA1" s="519"/>
      <c r="AB1" s="519"/>
      <c r="AC1" s="519"/>
      <c r="AD1" s="519"/>
      <c r="AE1" s="519"/>
      <c r="AF1" s="519"/>
      <c r="AG1" s="519"/>
      <c r="AH1" s="519"/>
      <c r="AI1" s="519"/>
      <c r="AJ1" s="519"/>
      <c r="AK1" s="519"/>
      <c r="AL1" s="519"/>
      <c r="AM1" s="519"/>
      <c r="AN1" s="5"/>
      <c r="AO1" s="519"/>
      <c r="AP1" s="519"/>
      <c r="AQ1" s="392" t="s">
        <v>800</v>
      </c>
    </row>
    <row r="2" spans="1:80" ht="15">
      <c r="A2" s="660"/>
      <c r="B2" s="660"/>
      <c r="C2" s="660"/>
      <c r="D2" s="519"/>
      <c r="E2" s="519"/>
      <c r="F2" s="519"/>
      <c r="G2" s="519"/>
      <c r="H2" s="519"/>
      <c r="I2" s="519"/>
      <c r="J2" s="519"/>
      <c r="K2" s="519"/>
      <c r="L2" s="519"/>
      <c r="M2" s="519"/>
      <c r="N2" s="519"/>
      <c r="O2" s="519"/>
      <c r="P2" s="390" t="s">
        <v>108</v>
      </c>
      <c r="Q2" s="390" t="s">
        <v>108</v>
      </c>
      <c r="R2" s="390" t="s">
        <v>108</v>
      </c>
      <c r="S2" s="390" t="s">
        <v>108</v>
      </c>
      <c r="T2" s="390" t="s">
        <v>108</v>
      </c>
      <c r="U2" s="390" t="s">
        <v>108</v>
      </c>
      <c r="V2" s="390" t="s">
        <v>108</v>
      </c>
      <c r="W2" s="390"/>
      <c r="X2" s="519"/>
      <c r="Y2" s="519"/>
      <c r="Z2" s="519"/>
      <c r="AA2" s="519"/>
      <c r="AB2" s="519"/>
      <c r="AC2" s="519"/>
      <c r="AD2" s="519"/>
      <c r="AE2" s="519"/>
      <c r="AF2" s="519"/>
      <c r="AG2" s="519"/>
      <c r="AH2" s="519"/>
      <c r="AI2" s="519"/>
      <c r="AJ2" s="519"/>
      <c r="AK2" s="519"/>
      <c r="AL2" s="519"/>
      <c r="AM2" s="519"/>
      <c r="AN2" s="5"/>
      <c r="AO2" s="519"/>
      <c r="AP2" s="519"/>
      <c r="AQ2" s="392" t="s">
        <v>801</v>
      </c>
    </row>
    <row r="3" spans="1:80" ht="15.75" thickBot="1">
      <c r="A3" s="660"/>
      <c r="B3" s="660"/>
      <c r="C3" s="660"/>
      <c r="D3" s="519"/>
      <c r="E3" s="519"/>
      <c r="F3" s="519"/>
      <c r="G3" s="519"/>
      <c r="H3" s="519"/>
      <c r="I3" s="519"/>
      <c r="J3" s="519"/>
      <c r="K3" s="519"/>
      <c r="L3" s="519"/>
      <c r="M3" s="519"/>
      <c r="N3" s="519"/>
      <c r="O3" s="519"/>
      <c r="P3" s="390" t="s">
        <v>109</v>
      </c>
      <c r="Q3" s="390" t="s">
        <v>109</v>
      </c>
      <c r="R3" s="390" t="s">
        <v>109</v>
      </c>
      <c r="S3" s="390" t="s">
        <v>109</v>
      </c>
      <c r="T3" s="390" t="s">
        <v>109</v>
      </c>
      <c r="U3" s="390" t="s">
        <v>109</v>
      </c>
      <c r="V3" s="390" t="s">
        <v>109</v>
      </c>
      <c r="W3" s="390"/>
      <c r="X3" s="519"/>
      <c r="Y3" s="519"/>
      <c r="Z3" s="519"/>
      <c r="AA3" s="519"/>
      <c r="AB3" s="519"/>
      <c r="AC3" s="519"/>
      <c r="AD3" s="519"/>
      <c r="AE3" s="519"/>
      <c r="AF3" s="519"/>
      <c r="AG3" s="519"/>
      <c r="AH3" s="519"/>
      <c r="AI3" s="519"/>
      <c r="AJ3" s="519"/>
      <c r="AK3" s="519"/>
      <c r="AL3" s="519"/>
      <c r="AM3" s="519"/>
      <c r="AN3" s="5"/>
      <c r="AO3" s="519"/>
      <c r="AP3" s="519"/>
      <c r="AQ3" s="519"/>
    </row>
    <row r="4" spans="1:80" s="117" customFormat="1" ht="19.5" customHeight="1" thickBot="1">
      <c r="A4" s="343" t="s">
        <v>365</v>
      </c>
      <c r="B4" s="305" t="s">
        <v>182</v>
      </c>
      <c r="C4" s="305"/>
      <c r="D4" s="794" t="s">
        <v>304</v>
      </c>
      <c r="E4" s="794" t="s">
        <v>303</v>
      </c>
      <c r="F4" s="794" t="s">
        <v>302</v>
      </c>
      <c r="G4" s="794" t="s">
        <v>301</v>
      </c>
      <c r="H4" s="794" t="s">
        <v>297</v>
      </c>
      <c r="I4" s="794" t="s">
        <v>298</v>
      </c>
      <c r="J4" s="794" t="s">
        <v>299</v>
      </c>
      <c r="K4" s="794" t="s">
        <v>300</v>
      </c>
      <c r="L4" s="794" t="s">
        <v>296</v>
      </c>
      <c r="M4" s="794" t="s">
        <v>295</v>
      </c>
      <c r="N4" s="794" t="s">
        <v>294</v>
      </c>
      <c r="O4" s="794" t="s">
        <v>293</v>
      </c>
      <c r="P4" s="794" t="s">
        <v>292</v>
      </c>
      <c r="Q4" s="794" t="s">
        <v>291</v>
      </c>
      <c r="R4" s="794" t="s">
        <v>290</v>
      </c>
      <c r="S4" s="794" t="s">
        <v>289</v>
      </c>
      <c r="T4" s="794" t="s">
        <v>288</v>
      </c>
      <c r="U4" s="794" t="s">
        <v>287</v>
      </c>
      <c r="V4" s="794" t="s">
        <v>286</v>
      </c>
      <c r="W4" s="870" t="s">
        <v>285</v>
      </c>
      <c r="X4" s="870" t="s">
        <v>281</v>
      </c>
      <c r="Y4" s="870" t="s">
        <v>282</v>
      </c>
      <c r="Z4" s="870" t="s">
        <v>283</v>
      </c>
      <c r="AA4" s="870" t="s">
        <v>284</v>
      </c>
      <c r="AB4" s="870" t="s">
        <v>277</v>
      </c>
      <c r="AC4" s="870" t="s">
        <v>278</v>
      </c>
      <c r="AD4" s="870" t="s">
        <v>279</v>
      </c>
      <c r="AE4" s="870" t="s">
        <v>280</v>
      </c>
      <c r="AF4" s="870" t="s">
        <v>274</v>
      </c>
      <c r="AG4" s="870" t="s">
        <v>275</v>
      </c>
      <c r="AH4" s="870" t="s">
        <v>276</v>
      </c>
      <c r="AI4" s="870" t="s">
        <v>256</v>
      </c>
      <c r="AJ4" s="870" t="s">
        <v>273</v>
      </c>
      <c r="AK4" s="870" t="s">
        <v>272</v>
      </c>
      <c r="AL4" s="870" t="s">
        <v>255</v>
      </c>
      <c r="AM4" s="870" t="s">
        <v>271</v>
      </c>
      <c r="AN4" s="870" t="s">
        <v>270</v>
      </c>
      <c r="AO4" s="870" t="s">
        <v>269</v>
      </c>
      <c r="AP4" s="870" t="s">
        <v>268</v>
      </c>
      <c r="AQ4" s="871" t="s">
        <v>565</v>
      </c>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row>
    <row r="5" spans="1:80" s="42" customFormat="1" ht="15">
      <c r="A5" s="1016" t="s">
        <v>313</v>
      </c>
      <c r="B5" s="787" t="s">
        <v>354</v>
      </c>
      <c r="C5" s="1046"/>
      <c r="D5" s="1047"/>
      <c r="E5" s="1047"/>
      <c r="F5" s="1047"/>
      <c r="G5" s="1047"/>
      <c r="H5" s="1047"/>
      <c r="I5" s="1047"/>
      <c r="J5" s="1047"/>
      <c r="K5" s="1047"/>
      <c r="L5" s="1047"/>
      <c r="M5" s="1047"/>
      <c r="N5" s="1047"/>
      <c r="O5" s="1047"/>
      <c r="P5" s="1047"/>
      <c r="Q5" s="1047"/>
      <c r="R5" s="1047"/>
      <c r="S5" s="1047"/>
      <c r="T5" s="1047"/>
      <c r="U5" s="1047"/>
      <c r="V5" s="1047"/>
      <c r="W5" s="1048"/>
      <c r="X5" s="1048"/>
      <c r="Y5" s="1048"/>
      <c r="Z5" s="1048"/>
      <c r="AA5" s="1048"/>
      <c r="AB5" s="1048"/>
      <c r="AC5" s="1048"/>
      <c r="AD5" s="1048"/>
      <c r="AE5" s="1048"/>
      <c r="AF5" s="1048"/>
      <c r="AG5" s="1048"/>
      <c r="AH5" s="1048"/>
      <c r="AI5" s="1048"/>
      <c r="AJ5" s="1048"/>
      <c r="AK5" s="844"/>
      <c r="AL5" s="844"/>
      <c r="AM5" s="844"/>
      <c r="AN5" s="844"/>
      <c r="AO5" s="844"/>
      <c r="AP5" s="1049">
        <v>34</v>
      </c>
      <c r="AQ5" s="1050"/>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row>
    <row r="6" spans="1:80" ht="27">
      <c r="A6" s="995" t="s">
        <v>735</v>
      </c>
      <c r="B6" s="1000" t="s">
        <v>734</v>
      </c>
      <c r="C6" s="1000"/>
      <c r="D6" s="1034"/>
      <c r="E6" s="1034"/>
      <c r="F6" s="1034"/>
      <c r="G6" s="1034"/>
      <c r="H6" s="1034"/>
      <c r="I6" s="1034"/>
      <c r="J6" s="1034"/>
      <c r="K6" s="1034"/>
      <c r="L6" s="1034"/>
      <c r="M6" s="1034"/>
      <c r="N6" s="1034"/>
      <c r="O6" s="1034"/>
      <c r="P6" s="1034"/>
      <c r="Q6" s="1034"/>
      <c r="R6" s="1034"/>
      <c r="S6" s="1034"/>
      <c r="T6" s="1034"/>
      <c r="U6" s="1034"/>
      <c r="V6" s="1034"/>
      <c r="W6" s="1035"/>
      <c r="X6" s="1035"/>
      <c r="Y6" s="1035"/>
      <c r="Z6" s="1035"/>
      <c r="AA6" s="1035"/>
      <c r="AB6" s="1035"/>
      <c r="AC6" s="1035"/>
      <c r="AD6" s="1035"/>
      <c r="AE6" s="1035"/>
      <c r="AF6" s="1035"/>
      <c r="AG6" s="1035"/>
      <c r="AH6" s="1035"/>
      <c r="AI6" s="1035"/>
      <c r="AJ6" s="1035"/>
      <c r="AK6" s="709"/>
      <c r="AL6" s="709"/>
      <c r="AM6" s="709"/>
      <c r="AN6" s="709"/>
      <c r="AO6" s="709"/>
      <c r="AP6" s="535">
        <v>34</v>
      </c>
      <c r="AQ6" s="864"/>
    </row>
    <row r="7" spans="1:80" s="42" customFormat="1" ht="15" customHeight="1">
      <c r="A7" s="1036" t="s">
        <v>315</v>
      </c>
      <c r="B7" s="797" t="s">
        <v>517</v>
      </c>
      <c r="C7" s="797"/>
      <c r="D7" s="798">
        <f t="shared" ref="D7:R7" si="0">SUM(D8:D10)</f>
        <v>0</v>
      </c>
      <c r="E7" s="1033">
        <f t="shared" si="0"/>
        <v>84948.981</v>
      </c>
      <c r="F7" s="798">
        <f t="shared" si="0"/>
        <v>0</v>
      </c>
      <c r="G7" s="1033">
        <f t="shared" si="0"/>
        <v>87557.400999999998</v>
      </c>
      <c r="H7" s="1033">
        <f t="shared" si="0"/>
        <v>91048.858999999982</v>
      </c>
      <c r="I7" s="1033">
        <f t="shared" si="0"/>
        <v>92815.074999999997</v>
      </c>
      <c r="J7" s="1033">
        <f t="shared" si="0"/>
        <v>92169.984999999986</v>
      </c>
      <c r="K7" s="1033">
        <f t="shared" si="0"/>
        <v>95107.853999999992</v>
      </c>
      <c r="L7" s="1033">
        <f t="shared" si="0"/>
        <v>97344.612999999998</v>
      </c>
      <c r="M7" s="1033">
        <f t="shared" si="0"/>
        <v>96792.401000000013</v>
      </c>
      <c r="N7" s="1033">
        <f t="shared" si="0"/>
        <v>99821.807000000001</v>
      </c>
      <c r="O7" s="1033">
        <f t="shared" si="0"/>
        <v>104183.094</v>
      </c>
      <c r="P7" s="1033">
        <f t="shared" si="0"/>
        <v>105318.54300000001</v>
      </c>
      <c r="Q7" s="1033">
        <f t="shared" si="0"/>
        <v>106462.857</v>
      </c>
      <c r="R7" s="1033">
        <f t="shared" si="0"/>
        <v>107971.723</v>
      </c>
      <c r="S7" s="1033">
        <f>SUM(S8:S10)</f>
        <v>110866.42200000001</v>
      </c>
      <c r="T7" s="1033">
        <f t="shared" ref="T7:X7" si="1">SUM(T8:T10)</f>
        <v>115802.518</v>
      </c>
      <c r="U7" s="1033">
        <f t="shared" si="1"/>
        <v>116754.58099999999</v>
      </c>
      <c r="V7" s="1033">
        <f t="shared" si="1"/>
        <v>116603.837</v>
      </c>
      <c r="W7" s="1033">
        <f t="shared" si="1"/>
        <v>116464.08900000001</v>
      </c>
      <c r="X7" s="1033">
        <f t="shared" si="1"/>
        <v>117791.92</v>
      </c>
      <c r="Y7" s="1033">
        <f t="shared" ref="Y7" si="2">SUM(Y8:Y10)</f>
        <v>123461.939</v>
      </c>
      <c r="Z7" s="1033">
        <f t="shared" ref="Z7" si="3">SUM(Z8:Z10)</f>
        <v>124096.067</v>
      </c>
      <c r="AA7" s="1033">
        <f t="shared" ref="AA7" si="4">SUM(AA8:AA10)</f>
        <v>128675.561</v>
      </c>
      <c r="AB7" s="1033">
        <f t="shared" ref="AB7:AC7" si="5">SUM(AB8:AB10)</f>
        <v>131140.478</v>
      </c>
      <c r="AC7" s="1033">
        <f t="shared" si="5"/>
        <v>131694.51</v>
      </c>
      <c r="AD7" s="1033">
        <f t="shared" ref="AD7" si="6">SUM(AD8:AD10)</f>
        <v>132229.076</v>
      </c>
      <c r="AE7" s="1033">
        <f t="shared" ref="AE7" si="7">SUM(AE8:AE10)</f>
        <v>135410.367</v>
      </c>
      <c r="AF7" s="1033">
        <f t="shared" ref="AF7" si="8">SUM(AF8:AF10)</f>
        <v>138463.13699999999</v>
      </c>
      <c r="AG7" s="1033">
        <f t="shared" ref="AG7:AH7" si="9">SUM(AG8:AG10)</f>
        <v>141303.337</v>
      </c>
      <c r="AH7" s="1033">
        <f t="shared" si="9"/>
        <v>142461.78</v>
      </c>
      <c r="AI7" s="1033">
        <f t="shared" ref="AI7" si="10">SUM(AI8:AI10)</f>
        <v>148000</v>
      </c>
      <c r="AJ7" s="1033">
        <f t="shared" ref="AJ7" si="11">SUM(AJ8:AJ10)</f>
        <v>150407</v>
      </c>
      <c r="AK7" s="1033">
        <f t="shared" ref="AK7" si="12">SUM(AK8:AK10)</f>
        <v>149930</v>
      </c>
      <c r="AL7" s="1033">
        <f t="shared" ref="AL7:AM7" si="13">SUM(AL8:AL10)</f>
        <v>149755</v>
      </c>
      <c r="AM7" s="1033">
        <f t="shared" si="13"/>
        <v>151161</v>
      </c>
      <c r="AN7" s="1033">
        <v>152424</v>
      </c>
      <c r="AO7" s="1033">
        <v>153655</v>
      </c>
      <c r="AP7" s="1033">
        <v>154765</v>
      </c>
      <c r="AQ7" s="1037">
        <v>165182</v>
      </c>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row>
    <row r="8" spans="1:80" s="32" customFormat="1" ht="15" customHeight="1">
      <c r="A8" s="876" t="s">
        <v>317</v>
      </c>
      <c r="B8" s="772" t="s">
        <v>358</v>
      </c>
      <c r="C8" s="772"/>
      <c r="D8" s="718"/>
      <c r="E8" s="1296">
        <v>49402.733999999997</v>
      </c>
      <c r="F8" s="718"/>
      <c r="G8" s="1296">
        <v>49559.095999999998</v>
      </c>
      <c r="H8" s="1296">
        <v>50040.892999999996</v>
      </c>
      <c r="I8" s="1296">
        <v>47672.817999999999</v>
      </c>
      <c r="J8" s="1296">
        <v>47995.423999999999</v>
      </c>
      <c r="K8" s="1296">
        <v>48398.184999999998</v>
      </c>
      <c r="L8" s="1296">
        <v>48656.008999999998</v>
      </c>
      <c r="M8" s="1296">
        <v>47629.271000000001</v>
      </c>
      <c r="N8" s="1296">
        <v>53729.205999999998</v>
      </c>
      <c r="O8" s="1296">
        <v>55523.745000000003</v>
      </c>
      <c r="P8" s="1296">
        <v>58168.495999999999</v>
      </c>
      <c r="Q8" s="1296">
        <v>58255.637000000002</v>
      </c>
      <c r="R8" s="1296">
        <v>61393.824000000001</v>
      </c>
      <c r="S8" s="1296">
        <v>63517.468999999997</v>
      </c>
      <c r="T8" s="1296">
        <v>66924.536999999997</v>
      </c>
      <c r="U8" s="1296">
        <v>66364.929999999993</v>
      </c>
      <c r="V8" s="1296">
        <v>64477.735000000001</v>
      </c>
      <c r="W8" s="1296">
        <v>63467.675000000003</v>
      </c>
      <c r="X8" s="1296">
        <v>63969.72</v>
      </c>
      <c r="Y8" s="1296">
        <v>67181.729000000007</v>
      </c>
      <c r="Z8" s="1296">
        <v>68086.861999999994</v>
      </c>
      <c r="AA8" s="1296">
        <v>69228.282999999996</v>
      </c>
      <c r="AB8" s="1296">
        <v>70979.59</v>
      </c>
      <c r="AC8" s="1296">
        <v>70286.807000000001</v>
      </c>
      <c r="AD8" s="1296">
        <v>70532.815000000002</v>
      </c>
      <c r="AE8" s="1296">
        <v>71079.63</v>
      </c>
      <c r="AF8" s="1296">
        <v>72575.865999999995</v>
      </c>
      <c r="AG8" s="1296">
        <v>72809.959000000003</v>
      </c>
      <c r="AH8" s="1296">
        <v>73176.638000000006</v>
      </c>
      <c r="AI8" s="1296">
        <v>75304</v>
      </c>
      <c r="AJ8" s="1296">
        <v>73652</v>
      </c>
      <c r="AK8" s="1296">
        <v>69838</v>
      </c>
      <c r="AL8" s="1296">
        <v>67804</v>
      </c>
      <c r="AM8" s="1296">
        <v>64126</v>
      </c>
      <c r="AN8" s="1296">
        <v>61772</v>
      </c>
      <c r="AO8" s="1296">
        <v>60001</v>
      </c>
      <c r="AP8" s="1296">
        <v>58218</v>
      </c>
      <c r="AQ8" s="1297">
        <v>61638</v>
      </c>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row>
    <row r="9" spans="1:80" s="32" customFormat="1" ht="15" customHeight="1">
      <c r="A9" s="876" t="s">
        <v>316</v>
      </c>
      <c r="B9" s="772" t="s">
        <v>357</v>
      </c>
      <c r="C9" s="772"/>
      <c r="D9" s="718"/>
      <c r="E9" s="1296">
        <v>35178.120999999999</v>
      </c>
      <c r="F9" s="718"/>
      <c r="G9" s="1296">
        <v>37730.474999999999</v>
      </c>
      <c r="H9" s="1296">
        <v>40556.57</v>
      </c>
      <c r="I9" s="1296">
        <v>44525.972999999998</v>
      </c>
      <c r="J9" s="1296">
        <v>43860.383999999998</v>
      </c>
      <c r="K9" s="1296">
        <v>46416.010999999999</v>
      </c>
      <c r="L9" s="1296">
        <v>48373.269</v>
      </c>
      <c r="M9" s="1296">
        <v>48815.665999999997</v>
      </c>
      <c r="N9" s="1296">
        <v>45778.321000000004</v>
      </c>
      <c r="O9" s="1296">
        <v>48187.307000000001</v>
      </c>
      <c r="P9" s="1296">
        <v>46891.474000000002</v>
      </c>
      <c r="Q9" s="1296">
        <v>47970.67</v>
      </c>
      <c r="R9" s="1296">
        <v>46366.71</v>
      </c>
      <c r="S9" s="1296">
        <v>47143.802000000003</v>
      </c>
      <c r="T9" s="1296">
        <v>48633.785000000003</v>
      </c>
      <c r="U9" s="1296">
        <v>50149.756999999998</v>
      </c>
      <c r="V9" s="1296">
        <v>51894.3</v>
      </c>
      <c r="W9" s="1296">
        <v>52776.150999999998</v>
      </c>
      <c r="X9" s="1296">
        <v>53598.188999999998</v>
      </c>
      <c r="Y9" s="1296">
        <v>56050.381999999998</v>
      </c>
      <c r="Z9" s="1296">
        <v>55780.915000000001</v>
      </c>
      <c r="AA9" s="1296">
        <v>59219.213000000003</v>
      </c>
      <c r="AB9" s="1296">
        <v>59920.997000000003</v>
      </c>
      <c r="AC9" s="1296">
        <v>61144.610999999997</v>
      </c>
      <c r="AD9" s="1296">
        <v>61435.945</v>
      </c>
      <c r="AE9" s="1296">
        <v>64039.510999999999</v>
      </c>
      <c r="AF9" s="1296">
        <v>65604.77</v>
      </c>
      <c r="AG9" s="1296">
        <v>68153.342000000004</v>
      </c>
      <c r="AH9" s="1296">
        <v>68926.797999999995</v>
      </c>
      <c r="AI9" s="1296">
        <v>72365</v>
      </c>
      <c r="AJ9" s="1296">
        <v>76402</v>
      </c>
      <c r="AK9" s="1296">
        <v>79666</v>
      </c>
      <c r="AL9" s="1296">
        <v>81507</v>
      </c>
      <c r="AM9" s="1296">
        <v>86819</v>
      </c>
      <c r="AN9" s="1296">
        <v>90059</v>
      </c>
      <c r="AO9" s="1296">
        <v>93441</v>
      </c>
      <c r="AP9" s="1296">
        <v>95931</v>
      </c>
      <c r="AQ9" s="1297">
        <v>103143</v>
      </c>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row>
    <row r="10" spans="1:80" s="32" customFormat="1" ht="15" customHeight="1">
      <c r="A10" s="876" t="s">
        <v>66</v>
      </c>
      <c r="B10" s="772" t="s">
        <v>413</v>
      </c>
      <c r="C10" s="772"/>
      <c r="D10" s="718"/>
      <c r="E10" s="1296">
        <v>368.12599999999998</v>
      </c>
      <c r="F10" s="718"/>
      <c r="G10" s="1296">
        <v>267.83</v>
      </c>
      <c r="H10" s="1296">
        <v>451.39600000000002</v>
      </c>
      <c r="I10" s="1296">
        <v>616.28399999999999</v>
      </c>
      <c r="J10" s="1296">
        <v>314.17700000000002</v>
      </c>
      <c r="K10" s="1296">
        <v>293.65800000000002</v>
      </c>
      <c r="L10" s="1296">
        <v>315.33499999999998</v>
      </c>
      <c r="M10" s="1296">
        <v>347.464</v>
      </c>
      <c r="N10" s="1296">
        <v>314.27999999999997</v>
      </c>
      <c r="O10" s="1296">
        <v>472.04199999999997</v>
      </c>
      <c r="P10" s="1296">
        <v>258.57299999999998</v>
      </c>
      <c r="Q10" s="1296">
        <v>236.55</v>
      </c>
      <c r="R10" s="1296">
        <v>211.18899999999999</v>
      </c>
      <c r="S10" s="1296">
        <v>205.15100000000001</v>
      </c>
      <c r="T10" s="1296">
        <v>244.196</v>
      </c>
      <c r="U10" s="1296">
        <v>239.89400000000001</v>
      </c>
      <c r="V10" s="1296">
        <v>231.80199999999999</v>
      </c>
      <c r="W10" s="1296">
        <v>220.26300000000001</v>
      </c>
      <c r="X10" s="1296">
        <v>224.011</v>
      </c>
      <c r="Y10" s="1296">
        <v>229.828</v>
      </c>
      <c r="Z10" s="1296">
        <v>228.29</v>
      </c>
      <c r="AA10" s="1296">
        <v>228.065</v>
      </c>
      <c r="AB10" s="1296">
        <v>239.89099999999999</v>
      </c>
      <c r="AC10" s="1296">
        <v>263.09199999999998</v>
      </c>
      <c r="AD10" s="1296">
        <v>260.31599999999997</v>
      </c>
      <c r="AE10" s="1296">
        <v>291.226</v>
      </c>
      <c r="AF10" s="1296">
        <v>282.50099999999998</v>
      </c>
      <c r="AG10" s="1296">
        <v>340.036</v>
      </c>
      <c r="AH10" s="1296">
        <v>358.34399999999999</v>
      </c>
      <c r="AI10" s="1296">
        <v>331</v>
      </c>
      <c r="AJ10" s="1296">
        <v>353</v>
      </c>
      <c r="AK10" s="1296">
        <v>426</v>
      </c>
      <c r="AL10" s="1296">
        <v>444</v>
      </c>
      <c r="AM10" s="1296">
        <v>216</v>
      </c>
      <c r="AN10" s="1296">
        <v>593</v>
      </c>
      <c r="AO10" s="1296">
        <v>213</v>
      </c>
      <c r="AP10" s="1296">
        <v>616</v>
      </c>
      <c r="AQ10" s="1297">
        <v>401</v>
      </c>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row>
    <row r="11" spans="1:80" s="42" customFormat="1" ht="15" customHeight="1">
      <c r="A11" s="1039" t="s">
        <v>318</v>
      </c>
      <c r="B11" s="1040" t="s">
        <v>359</v>
      </c>
      <c r="C11" s="1040"/>
      <c r="D11" s="1041">
        <f t="shared" ref="D11:R11" si="14">SUM(D12:D16)</f>
        <v>0</v>
      </c>
      <c r="E11" s="1042">
        <f t="shared" si="14"/>
        <v>21805.287000000004</v>
      </c>
      <c r="F11" s="1041">
        <f t="shared" si="14"/>
        <v>0</v>
      </c>
      <c r="G11" s="1042">
        <f t="shared" si="14"/>
        <v>27834.542000000001</v>
      </c>
      <c r="H11" s="1042">
        <f t="shared" si="14"/>
        <v>23829.948999999997</v>
      </c>
      <c r="I11" s="1042">
        <f t="shared" si="14"/>
        <v>28461.416000000001</v>
      </c>
      <c r="J11" s="1042">
        <f t="shared" si="14"/>
        <v>30022.212</v>
      </c>
      <c r="K11" s="1042">
        <f t="shared" si="14"/>
        <v>31826.550999999999</v>
      </c>
      <c r="L11" s="1042">
        <f t="shared" si="14"/>
        <v>31916.751999999997</v>
      </c>
      <c r="M11" s="1042">
        <f t="shared" si="14"/>
        <v>37894.436000000002</v>
      </c>
      <c r="N11" s="1042">
        <f t="shared" si="14"/>
        <v>39732.899000000005</v>
      </c>
      <c r="O11" s="1042">
        <f t="shared" si="14"/>
        <v>38468.559999999998</v>
      </c>
      <c r="P11" s="1042">
        <f t="shared" si="14"/>
        <v>35334.864999999998</v>
      </c>
      <c r="Q11" s="1042">
        <f t="shared" si="14"/>
        <v>35525.13900000001</v>
      </c>
      <c r="R11" s="1042">
        <f t="shared" si="14"/>
        <v>32889.305</v>
      </c>
      <c r="S11" s="1042">
        <f>SUM(S12:S16)</f>
        <v>31868.250999999997</v>
      </c>
      <c r="T11" s="1042">
        <f t="shared" ref="T11:AM11" si="15">SUM(T12:T16)</f>
        <v>28817.852999999999</v>
      </c>
      <c r="U11" s="1042">
        <f t="shared" si="15"/>
        <v>28036.784</v>
      </c>
      <c r="V11" s="1042">
        <f t="shared" si="15"/>
        <v>30248.11</v>
      </c>
      <c r="W11" s="1042">
        <f t="shared" si="15"/>
        <v>31966.616000000002</v>
      </c>
      <c r="X11" s="1042">
        <f t="shared" si="15"/>
        <v>29537.464000000004</v>
      </c>
      <c r="Y11" s="1042">
        <f t="shared" si="15"/>
        <v>41927.112000000001</v>
      </c>
      <c r="Z11" s="1042">
        <f t="shared" si="15"/>
        <v>42865.912000000004</v>
      </c>
      <c r="AA11" s="1042">
        <f t="shared" si="15"/>
        <v>40932.868000000002</v>
      </c>
      <c r="AB11" s="1042">
        <f t="shared" si="15"/>
        <v>41934.258000000002</v>
      </c>
      <c r="AC11" s="1042">
        <f t="shared" si="15"/>
        <v>40547.534</v>
      </c>
      <c r="AD11" s="1042">
        <f t="shared" si="15"/>
        <v>39603.491999999998</v>
      </c>
      <c r="AE11" s="1042">
        <f t="shared" si="15"/>
        <v>51213.728000000003</v>
      </c>
      <c r="AF11" s="1042">
        <f t="shared" si="15"/>
        <v>47196.465999999993</v>
      </c>
      <c r="AG11" s="1042">
        <f t="shared" si="15"/>
        <v>49847.114999999998</v>
      </c>
      <c r="AH11" s="1042">
        <f t="shared" si="15"/>
        <v>49215.796999999999</v>
      </c>
      <c r="AI11" s="1042">
        <f t="shared" si="15"/>
        <v>48657</v>
      </c>
      <c r="AJ11" s="1042">
        <f t="shared" si="15"/>
        <v>47071</v>
      </c>
      <c r="AK11" s="1042">
        <f t="shared" si="15"/>
        <v>47950</v>
      </c>
      <c r="AL11" s="1042">
        <f t="shared" si="15"/>
        <v>50278</v>
      </c>
      <c r="AM11" s="1042">
        <f t="shared" si="15"/>
        <v>56230</v>
      </c>
      <c r="AN11" s="1042">
        <v>53662</v>
      </c>
      <c r="AO11" s="1042">
        <v>52930</v>
      </c>
      <c r="AP11" s="1042">
        <v>55595</v>
      </c>
      <c r="AQ11" s="1043">
        <f>55302+4093</f>
        <v>59395</v>
      </c>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row>
    <row r="12" spans="1:80" s="32" customFormat="1" ht="15" customHeight="1">
      <c r="A12" s="876" t="s">
        <v>317</v>
      </c>
      <c r="B12" s="772" t="s">
        <v>358</v>
      </c>
      <c r="C12" s="772"/>
      <c r="D12" s="718"/>
      <c r="E12" s="874">
        <v>12771.887000000001</v>
      </c>
      <c r="F12" s="718"/>
      <c r="G12" s="874">
        <v>17286.458999999999</v>
      </c>
      <c r="H12" s="874">
        <v>13648.861999999999</v>
      </c>
      <c r="I12" s="874">
        <v>16230.714</v>
      </c>
      <c r="J12" s="874">
        <v>17847.545999999998</v>
      </c>
      <c r="K12" s="874">
        <v>18259.083999999999</v>
      </c>
      <c r="L12" s="874">
        <v>19443.563999999998</v>
      </c>
      <c r="M12" s="874">
        <v>24792.86</v>
      </c>
      <c r="N12" s="874">
        <v>27472.669000000002</v>
      </c>
      <c r="O12" s="874">
        <v>23949.758000000002</v>
      </c>
      <c r="P12" s="874">
        <v>23356.531999999999</v>
      </c>
      <c r="Q12" s="874">
        <v>22845.264999999999</v>
      </c>
      <c r="R12" s="874">
        <v>21057.324000000001</v>
      </c>
      <c r="S12" s="874">
        <v>17171.3</v>
      </c>
      <c r="T12" s="874">
        <v>16368.343999999999</v>
      </c>
      <c r="U12" s="874">
        <v>13824.062</v>
      </c>
      <c r="V12" s="874">
        <v>12665.208000000001</v>
      </c>
      <c r="W12" s="874">
        <v>13426.892</v>
      </c>
      <c r="X12" s="874">
        <v>12115.33</v>
      </c>
      <c r="Y12" s="874">
        <v>19980.36</v>
      </c>
      <c r="Z12" s="874">
        <v>20031.240000000002</v>
      </c>
      <c r="AA12" s="874">
        <v>16068.233</v>
      </c>
      <c r="AB12" s="874">
        <v>17621.986000000001</v>
      </c>
      <c r="AC12" s="874">
        <v>15256.927</v>
      </c>
      <c r="AD12" s="874">
        <v>20254.916000000001</v>
      </c>
      <c r="AE12" s="874">
        <v>23032.66</v>
      </c>
      <c r="AF12" s="874">
        <v>19097.474999999999</v>
      </c>
      <c r="AG12" s="874">
        <v>19460.291000000001</v>
      </c>
      <c r="AH12" s="874">
        <v>17892.442999999999</v>
      </c>
      <c r="AI12" s="874">
        <v>11947</v>
      </c>
      <c r="AJ12" s="874">
        <v>12227</v>
      </c>
      <c r="AK12" s="874">
        <v>12953</v>
      </c>
      <c r="AL12" s="874">
        <v>13638</v>
      </c>
      <c r="AM12" s="874">
        <v>11613</v>
      </c>
      <c r="AN12" s="874">
        <v>14627</v>
      </c>
      <c r="AO12" s="874">
        <v>13965</v>
      </c>
      <c r="AP12" s="874">
        <v>15650</v>
      </c>
      <c r="AQ12" s="875">
        <v>15465</v>
      </c>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row>
    <row r="13" spans="1:80" s="32" customFormat="1" ht="15" customHeight="1">
      <c r="A13" s="876" t="s">
        <v>316</v>
      </c>
      <c r="B13" s="772" t="s">
        <v>357</v>
      </c>
      <c r="C13" s="772"/>
      <c r="D13" s="718"/>
      <c r="E13" s="874">
        <v>8081.1930000000002</v>
      </c>
      <c r="F13" s="718"/>
      <c r="G13" s="874">
        <v>8895.7270000000008</v>
      </c>
      <c r="H13" s="874">
        <v>8615.7049999999999</v>
      </c>
      <c r="I13" s="874">
        <v>10481.396000000001</v>
      </c>
      <c r="J13" s="874">
        <v>10484.713</v>
      </c>
      <c r="K13" s="874">
        <v>11264.473</v>
      </c>
      <c r="L13" s="874">
        <v>10451.61</v>
      </c>
      <c r="M13" s="874">
        <v>11204.665000000001</v>
      </c>
      <c r="N13" s="874">
        <v>9532.8670000000002</v>
      </c>
      <c r="O13" s="874">
        <v>11399.924999999999</v>
      </c>
      <c r="P13" s="874">
        <v>9071.1260000000002</v>
      </c>
      <c r="Q13" s="874">
        <v>9423.9670000000006</v>
      </c>
      <c r="R13" s="874">
        <v>9388.3880000000008</v>
      </c>
      <c r="S13" s="874">
        <v>11621.111999999999</v>
      </c>
      <c r="T13" s="874">
        <v>9116.5930000000008</v>
      </c>
      <c r="U13" s="874">
        <v>10074.064</v>
      </c>
      <c r="V13" s="874">
        <v>12189.172</v>
      </c>
      <c r="W13" s="874">
        <v>13076.977999999999</v>
      </c>
      <c r="X13" s="874">
        <v>13236.555</v>
      </c>
      <c r="Y13" s="874">
        <v>16917.29</v>
      </c>
      <c r="Z13" s="874">
        <v>17825.382000000001</v>
      </c>
      <c r="AA13" s="874">
        <v>19416.337</v>
      </c>
      <c r="AB13" s="874">
        <v>19254.345000000001</v>
      </c>
      <c r="AC13" s="874">
        <v>19729.432000000001</v>
      </c>
      <c r="AD13" s="874">
        <v>14321.709000000001</v>
      </c>
      <c r="AE13" s="874">
        <v>22447.226999999999</v>
      </c>
      <c r="AF13" s="874">
        <v>23001.327000000001</v>
      </c>
      <c r="AG13" s="874">
        <v>24811.682000000001</v>
      </c>
      <c r="AH13" s="874">
        <v>25483.190999999999</v>
      </c>
      <c r="AI13" s="874">
        <v>30987</v>
      </c>
      <c r="AJ13" s="874">
        <v>29509</v>
      </c>
      <c r="AK13" s="874">
        <v>30195</v>
      </c>
      <c r="AL13" s="874">
        <v>31775</v>
      </c>
      <c r="AM13" s="874">
        <v>40070</v>
      </c>
      <c r="AN13" s="874">
        <v>33570</v>
      </c>
      <c r="AO13" s="874">
        <v>34540</v>
      </c>
      <c r="AP13" s="874">
        <v>35657</v>
      </c>
      <c r="AQ13" s="875">
        <v>38927</v>
      </c>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row>
    <row r="14" spans="1:80" s="32" customFormat="1" ht="15" customHeight="1">
      <c r="A14" s="876" t="s">
        <v>330</v>
      </c>
      <c r="B14" s="772" t="s">
        <v>518</v>
      </c>
      <c r="C14" s="772"/>
      <c r="D14" s="718"/>
      <c r="E14" s="874">
        <v>599.49099999999999</v>
      </c>
      <c r="F14" s="718"/>
      <c r="G14" s="874">
        <v>1420.5170000000001</v>
      </c>
      <c r="H14" s="874">
        <v>1388.8530000000001</v>
      </c>
      <c r="I14" s="874">
        <v>1567.37</v>
      </c>
      <c r="J14" s="874">
        <v>1513.222</v>
      </c>
      <c r="K14" s="874">
        <v>1856.819</v>
      </c>
      <c r="L14" s="874">
        <v>1837.17</v>
      </c>
      <c r="M14" s="874">
        <v>1896.9110000000001</v>
      </c>
      <c r="N14" s="874">
        <v>2047.9459999999999</v>
      </c>
      <c r="O14" s="874">
        <v>1988.0129999999999</v>
      </c>
      <c r="P14" s="874">
        <v>1910.3579999999999</v>
      </c>
      <c r="Q14" s="874">
        <v>1949.25</v>
      </c>
      <c r="R14" s="874">
        <v>1890.2760000000001</v>
      </c>
      <c r="S14" s="874">
        <v>1557.653</v>
      </c>
      <c r="T14" s="874">
        <v>1583.7909999999999</v>
      </c>
      <c r="U14" s="874">
        <v>1993.2090000000001</v>
      </c>
      <c r="V14" s="874">
        <v>2271.067</v>
      </c>
      <c r="W14" s="874">
        <v>2863.6509999999998</v>
      </c>
      <c r="X14" s="874">
        <v>2877.1689999999999</v>
      </c>
      <c r="Y14" s="874">
        <v>3373.2289999999998</v>
      </c>
      <c r="Z14" s="874">
        <v>3362.5569999999998</v>
      </c>
      <c r="AA14" s="874">
        <v>3421.7040000000002</v>
      </c>
      <c r="AB14" s="874">
        <v>3556.9670000000001</v>
      </c>
      <c r="AC14" s="874">
        <v>3587.788</v>
      </c>
      <c r="AD14" s="874">
        <v>3605.614</v>
      </c>
      <c r="AE14" s="874">
        <v>3924.0990000000002</v>
      </c>
      <c r="AF14" s="874">
        <v>3877.9090000000001</v>
      </c>
      <c r="AG14" s="874">
        <v>4061.4389999999999</v>
      </c>
      <c r="AH14" s="874">
        <v>4075.8780000000002</v>
      </c>
      <c r="AI14" s="874">
        <v>4662</v>
      </c>
      <c r="AJ14" s="874">
        <v>4340</v>
      </c>
      <c r="AK14" s="874">
        <v>3939</v>
      </c>
      <c r="AL14" s="874">
        <v>3735</v>
      </c>
      <c r="AM14" s="874">
        <v>3563</v>
      </c>
      <c r="AN14" s="874">
        <v>3465</v>
      </c>
      <c r="AO14" s="874">
        <v>3643</v>
      </c>
      <c r="AP14" s="874">
        <v>3386</v>
      </c>
      <c r="AQ14" s="875">
        <v>4093</v>
      </c>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row>
    <row r="15" spans="1:80" s="32" customFormat="1" ht="15" customHeight="1">
      <c r="A15" s="876" t="s">
        <v>320</v>
      </c>
      <c r="B15" s="772" t="s">
        <v>360</v>
      </c>
      <c r="C15" s="772"/>
      <c r="D15" s="718"/>
      <c r="E15" s="874"/>
      <c r="F15" s="718"/>
      <c r="G15" s="874"/>
      <c r="H15" s="874"/>
      <c r="I15" s="874"/>
      <c r="J15" s="874"/>
      <c r="K15" s="874">
        <v>446.17500000000001</v>
      </c>
      <c r="L15" s="874"/>
      <c r="M15" s="874"/>
      <c r="N15" s="874">
        <v>679.41700000000003</v>
      </c>
      <c r="O15" s="874">
        <v>644.005</v>
      </c>
      <c r="P15" s="874">
        <v>625.798</v>
      </c>
      <c r="Q15" s="874">
        <v>970.31899999999996</v>
      </c>
      <c r="R15" s="874">
        <v>210.334</v>
      </c>
      <c r="S15" s="874">
        <v>851.41600000000005</v>
      </c>
      <c r="T15" s="874">
        <v>1129.038</v>
      </c>
      <c r="U15" s="874">
        <v>1478.05</v>
      </c>
      <c r="V15" s="874">
        <v>2180.2979999999998</v>
      </c>
      <c r="W15" s="874">
        <v>1647.95</v>
      </c>
      <c r="X15" s="874">
        <v>279.11700000000002</v>
      </c>
      <c r="Y15" s="874">
        <v>603.32000000000005</v>
      </c>
      <c r="Z15" s="874">
        <v>306.71899999999999</v>
      </c>
      <c r="AA15" s="874">
        <v>856.12400000000002</v>
      </c>
      <c r="AB15" s="874">
        <v>321.83699999999999</v>
      </c>
      <c r="AC15" s="874">
        <v>600.75599999999997</v>
      </c>
      <c r="AD15" s="874">
        <v>460.70600000000002</v>
      </c>
      <c r="AE15" s="874">
        <v>829.11400000000003</v>
      </c>
      <c r="AF15" s="874">
        <v>254.03899999999999</v>
      </c>
      <c r="AG15" s="874">
        <v>454.65199999999999</v>
      </c>
      <c r="AH15" s="874">
        <v>761.95299999999997</v>
      </c>
      <c r="AI15" s="874">
        <v>0</v>
      </c>
      <c r="AJ15" s="874">
        <v>20</v>
      </c>
      <c r="AK15" s="874"/>
      <c r="AL15" s="874">
        <v>98</v>
      </c>
      <c r="AM15" s="874">
        <v>48</v>
      </c>
      <c r="AN15" s="874">
        <v>1244</v>
      </c>
      <c r="AO15" s="874">
        <v>0</v>
      </c>
      <c r="AP15" s="874">
        <v>145</v>
      </c>
      <c r="AQ15" s="875">
        <v>0</v>
      </c>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row>
    <row r="16" spans="1:80" s="32" customFormat="1" ht="15" customHeight="1">
      <c r="A16" s="876" t="s">
        <v>66</v>
      </c>
      <c r="B16" s="772" t="s">
        <v>413</v>
      </c>
      <c r="C16" s="772"/>
      <c r="D16" s="718"/>
      <c r="E16" s="874">
        <v>352.71600000000001</v>
      </c>
      <c r="F16" s="718"/>
      <c r="G16" s="874">
        <v>231.839</v>
      </c>
      <c r="H16" s="874">
        <v>176.529</v>
      </c>
      <c r="I16" s="874">
        <v>181.93600000000001</v>
      </c>
      <c r="J16" s="874">
        <v>176.73099999999999</v>
      </c>
      <c r="K16" s="874"/>
      <c r="L16" s="874">
        <v>184.40799999999999</v>
      </c>
      <c r="M16" s="874"/>
      <c r="N16" s="874"/>
      <c r="O16" s="874">
        <v>486.85899999999998</v>
      </c>
      <c r="P16" s="874">
        <v>371.05099999999999</v>
      </c>
      <c r="Q16" s="874">
        <v>336.33800000000002</v>
      </c>
      <c r="R16" s="874">
        <v>342.983</v>
      </c>
      <c r="S16" s="874">
        <v>666.77</v>
      </c>
      <c r="T16" s="874">
        <v>620.08699999999999</v>
      </c>
      <c r="U16" s="874">
        <v>667.399</v>
      </c>
      <c r="V16" s="874">
        <v>942.36500000000001</v>
      </c>
      <c r="W16" s="874">
        <v>951.14499999999998</v>
      </c>
      <c r="X16" s="874">
        <v>1029.2929999999999</v>
      </c>
      <c r="Y16" s="874">
        <v>1052.913</v>
      </c>
      <c r="Z16" s="874">
        <v>1340.0139999999999</v>
      </c>
      <c r="AA16" s="874">
        <v>1170.47</v>
      </c>
      <c r="AB16" s="874">
        <v>1179.123</v>
      </c>
      <c r="AC16" s="874">
        <v>1372.6310000000001</v>
      </c>
      <c r="AD16" s="874">
        <v>960.54700000000003</v>
      </c>
      <c r="AE16" s="874">
        <v>980.62800000000004</v>
      </c>
      <c r="AF16" s="874">
        <v>965.71600000000001</v>
      </c>
      <c r="AG16" s="874">
        <v>1059.0509999999999</v>
      </c>
      <c r="AH16" s="874">
        <v>1002.332</v>
      </c>
      <c r="AI16" s="874">
        <v>1061</v>
      </c>
      <c r="AJ16" s="874">
        <v>975</v>
      </c>
      <c r="AK16" s="874">
        <v>863</v>
      </c>
      <c r="AL16" s="874">
        <v>1032</v>
      </c>
      <c r="AM16" s="874">
        <v>936</v>
      </c>
      <c r="AN16" s="874">
        <v>756</v>
      </c>
      <c r="AO16" s="874">
        <v>782</v>
      </c>
      <c r="AP16" s="874">
        <v>757</v>
      </c>
      <c r="AQ16" s="875">
        <v>910</v>
      </c>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row>
    <row r="17" spans="1:80" s="42" customFormat="1" ht="15" customHeight="1">
      <c r="A17" s="1036" t="s">
        <v>321</v>
      </c>
      <c r="B17" s="797" t="s">
        <v>519</v>
      </c>
      <c r="C17" s="797"/>
      <c r="D17" s="798">
        <f t="shared" ref="D17:R17" si="16">SUM(D18:D20)</f>
        <v>0</v>
      </c>
      <c r="E17" s="1033">
        <f t="shared" si="16"/>
        <v>7361.4209999999994</v>
      </c>
      <c r="F17" s="798">
        <f t="shared" si="16"/>
        <v>0</v>
      </c>
      <c r="G17" s="1033">
        <f t="shared" si="16"/>
        <v>9680.991</v>
      </c>
      <c r="H17" s="1033">
        <f t="shared" si="16"/>
        <v>8071.9170000000004</v>
      </c>
      <c r="I17" s="1033">
        <f t="shared" si="16"/>
        <v>7982.9939999999997</v>
      </c>
      <c r="J17" s="1033">
        <f t="shared" si="16"/>
        <v>9439.1729999999989</v>
      </c>
      <c r="K17" s="1033">
        <f t="shared" si="16"/>
        <v>6046.81</v>
      </c>
      <c r="L17" s="1033">
        <f t="shared" si="16"/>
        <v>6303.9239999999991</v>
      </c>
      <c r="M17" s="1033">
        <f t="shared" si="16"/>
        <v>4406.5459999999994</v>
      </c>
      <c r="N17" s="1033">
        <f t="shared" si="16"/>
        <v>4397.3500000000004</v>
      </c>
      <c r="O17" s="1033">
        <f t="shared" si="16"/>
        <v>3822.2430000000004</v>
      </c>
      <c r="P17" s="1033">
        <f t="shared" si="16"/>
        <v>3548.944</v>
      </c>
      <c r="Q17" s="1033">
        <f t="shared" si="16"/>
        <v>4998.5090000000009</v>
      </c>
      <c r="R17" s="1033">
        <f t="shared" si="16"/>
        <v>4584.2589999999991</v>
      </c>
      <c r="S17" s="1033">
        <f>SUM(S18:S20)</f>
        <v>3458.8969999999999</v>
      </c>
      <c r="T17" s="1033">
        <f t="shared" ref="T17:AM17" si="17">SUM(T18:T20)</f>
        <v>3825.7739999999999</v>
      </c>
      <c r="U17" s="1033">
        <f t="shared" si="17"/>
        <v>4451.268</v>
      </c>
      <c r="V17" s="1033">
        <f t="shared" si="17"/>
        <v>4005.2630000000004</v>
      </c>
      <c r="W17" s="1033">
        <f t="shared" si="17"/>
        <v>3473.2670000000003</v>
      </c>
      <c r="X17" s="1033">
        <f t="shared" si="17"/>
        <v>5343.3009999999995</v>
      </c>
      <c r="Y17" s="1033">
        <f t="shared" si="17"/>
        <v>5989.3350000000009</v>
      </c>
      <c r="Z17" s="1033">
        <f t="shared" si="17"/>
        <v>4211.6220000000003</v>
      </c>
      <c r="AA17" s="1033">
        <f t="shared" si="17"/>
        <v>4778.3370000000004</v>
      </c>
      <c r="AB17" s="1033">
        <f t="shared" si="17"/>
        <v>5292.74</v>
      </c>
      <c r="AC17" s="1033">
        <f t="shared" si="17"/>
        <v>6895.7339999999995</v>
      </c>
      <c r="AD17" s="1033">
        <f t="shared" si="17"/>
        <v>6424.2609999999995</v>
      </c>
      <c r="AE17" s="1033">
        <f t="shared" si="17"/>
        <v>9134.366</v>
      </c>
      <c r="AF17" s="1033">
        <f t="shared" si="17"/>
        <v>9196.5499999999993</v>
      </c>
      <c r="AG17" s="1033">
        <f t="shared" si="17"/>
        <v>8241.0800000000017</v>
      </c>
      <c r="AH17" s="1033">
        <f t="shared" si="17"/>
        <v>9502.98</v>
      </c>
      <c r="AI17" s="1033">
        <f t="shared" si="17"/>
        <v>8409</v>
      </c>
      <c r="AJ17" s="1033">
        <f t="shared" si="17"/>
        <v>9638</v>
      </c>
      <c r="AK17" s="1033">
        <f t="shared" si="17"/>
        <v>9368</v>
      </c>
      <c r="AL17" s="1033">
        <f t="shared" si="17"/>
        <v>9650</v>
      </c>
      <c r="AM17" s="1033">
        <f t="shared" si="17"/>
        <v>11409</v>
      </c>
      <c r="AN17" s="1033">
        <v>10937</v>
      </c>
      <c r="AO17" s="1033">
        <v>11003</v>
      </c>
      <c r="AP17" s="1033">
        <v>13353</v>
      </c>
      <c r="AQ17" s="1037">
        <v>16459</v>
      </c>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row>
    <row r="18" spans="1:80" s="32" customFormat="1" ht="15" customHeight="1">
      <c r="A18" s="876" t="s">
        <v>316</v>
      </c>
      <c r="B18" s="772" t="s">
        <v>357</v>
      </c>
      <c r="C18" s="772"/>
      <c r="D18" s="718"/>
      <c r="E18" s="874">
        <v>3426.7689999999998</v>
      </c>
      <c r="F18" s="718"/>
      <c r="G18" s="874">
        <v>3355.7640000000001</v>
      </c>
      <c r="H18" s="874">
        <v>2857.5219999999999</v>
      </c>
      <c r="I18" s="874">
        <v>3010.5349999999999</v>
      </c>
      <c r="J18" s="874">
        <v>2553.971</v>
      </c>
      <c r="K18" s="874">
        <v>2689.3690000000001</v>
      </c>
      <c r="L18" s="874">
        <v>1925.35</v>
      </c>
      <c r="M18" s="874">
        <v>2441.3580000000002</v>
      </c>
      <c r="N18" s="874">
        <v>2437.6570000000002</v>
      </c>
      <c r="O18" s="874">
        <v>2241.3330000000001</v>
      </c>
      <c r="P18" s="874">
        <v>2163.1010000000001</v>
      </c>
      <c r="Q18" s="874">
        <v>2435.7660000000001</v>
      </c>
      <c r="R18" s="874">
        <v>2314.7649999999999</v>
      </c>
      <c r="S18" s="874">
        <v>2870.7350000000001</v>
      </c>
      <c r="T18" s="874">
        <v>2522.5830000000001</v>
      </c>
      <c r="U18" s="874">
        <v>2911.1419999999998</v>
      </c>
      <c r="V18" s="874">
        <v>3015.8150000000001</v>
      </c>
      <c r="W18" s="874">
        <v>3018.6280000000002</v>
      </c>
      <c r="X18" s="874">
        <v>3443.2049999999999</v>
      </c>
      <c r="Y18" s="874">
        <v>3269.893</v>
      </c>
      <c r="Z18" s="874">
        <v>3128.2040000000002</v>
      </c>
      <c r="AA18" s="874">
        <v>4018.03</v>
      </c>
      <c r="AB18" s="874">
        <v>4330.5200000000004</v>
      </c>
      <c r="AC18" s="874">
        <v>4911.6930000000002</v>
      </c>
      <c r="AD18" s="874">
        <v>4493.8540000000003</v>
      </c>
      <c r="AE18" s="874">
        <v>5679.3940000000002</v>
      </c>
      <c r="AF18" s="874">
        <v>6309.4189999999999</v>
      </c>
      <c r="AG18" s="874">
        <v>6720.8090000000002</v>
      </c>
      <c r="AH18" s="874">
        <v>6851.0439999999999</v>
      </c>
      <c r="AI18" s="874">
        <v>8163</v>
      </c>
      <c r="AJ18" s="874">
        <v>8115</v>
      </c>
      <c r="AK18" s="874">
        <v>8263</v>
      </c>
      <c r="AL18" s="874">
        <v>8497</v>
      </c>
      <c r="AM18" s="874">
        <v>9555</v>
      </c>
      <c r="AN18" s="874">
        <v>9314</v>
      </c>
      <c r="AO18" s="874">
        <v>9073</v>
      </c>
      <c r="AP18" s="874">
        <v>9127</v>
      </c>
      <c r="AQ18" s="875">
        <v>11242</v>
      </c>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row>
    <row r="19" spans="1:80" s="32" customFormat="1" ht="15" customHeight="1">
      <c r="A19" s="876" t="s">
        <v>317</v>
      </c>
      <c r="B19" s="772" t="s">
        <v>358</v>
      </c>
      <c r="C19" s="772"/>
      <c r="D19" s="718"/>
      <c r="E19" s="1296">
        <v>3894.04</v>
      </c>
      <c r="F19" s="718"/>
      <c r="G19" s="1296">
        <v>6296.0929999999998</v>
      </c>
      <c r="H19" s="1296">
        <v>5193.2070000000003</v>
      </c>
      <c r="I19" s="1296">
        <v>4965.5259999999998</v>
      </c>
      <c r="J19" s="1296">
        <v>6878.84</v>
      </c>
      <c r="K19" s="1296">
        <v>3349.8209999999999</v>
      </c>
      <c r="L19" s="1296">
        <v>4373.28</v>
      </c>
      <c r="M19" s="1296">
        <v>1953.5070000000001</v>
      </c>
      <c r="N19" s="1296">
        <v>1946.4559999999999</v>
      </c>
      <c r="O19" s="1296">
        <v>1516.981</v>
      </c>
      <c r="P19" s="1296">
        <v>1336.355</v>
      </c>
      <c r="Q19" s="1296">
        <v>2479.924</v>
      </c>
      <c r="R19" s="1296">
        <v>2199.5529999999999</v>
      </c>
      <c r="S19" s="1296">
        <v>562.39700000000005</v>
      </c>
      <c r="T19" s="1296">
        <v>1236.376</v>
      </c>
      <c r="U19" s="1296">
        <v>1471.261</v>
      </c>
      <c r="V19" s="1296">
        <v>976.24900000000002</v>
      </c>
      <c r="W19" s="1296">
        <v>430.63900000000001</v>
      </c>
      <c r="X19" s="1296">
        <v>1888.498</v>
      </c>
      <c r="Y19" s="1296">
        <v>2706.797</v>
      </c>
      <c r="Z19" s="1296">
        <v>1069.588</v>
      </c>
      <c r="AA19" s="1296">
        <v>740.995</v>
      </c>
      <c r="AB19" s="1296">
        <v>941.49400000000003</v>
      </c>
      <c r="AC19" s="1296">
        <v>1971.5909999999999</v>
      </c>
      <c r="AD19" s="1296">
        <v>1918.6679999999999</v>
      </c>
      <c r="AE19" s="1296">
        <v>3435.4430000000002</v>
      </c>
      <c r="AF19" s="1296">
        <v>2870.4319999999998</v>
      </c>
      <c r="AG19" s="1296">
        <v>1505.4459999999999</v>
      </c>
      <c r="AH19" s="1296">
        <v>2632.9490000000001</v>
      </c>
      <c r="AI19" s="1296">
        <v>187</v>
      </c>
      <c r="AJ19" s="1296">
        <v>1505</v>
      </c>
      <c r="AK19" s="1296">
        <v>1083</v>
      </c>
      <c r="AL19" s="1296">
        <v>1069</v>
      </c>
      <c r="AM19" s="1296">
        <v>1820</v>
      </c>
      <c r="AN19" s="1296">
        <v>1581</v>
      </c>
      <c r="AO19" s="1296">
        <v>1849</v>
      </c>
      <c r="AP19" s="1296">
        <v>4172</v>
      </c>
      <c r="AQ19" s="1297">
        <v>5115</v>
      </c>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row>
    <row r="20" spans="1:80" s="32" customFormat="1" ht="15" customHeight="1">
      <c r="A20" s="876" t="s">
        <v>66</v>
      </c>
      <c r="B20" s="772" t="s">
        <v>413</v>
      </c>
      <c r="C20" s="772"/>
      <c r="D20" s="718"/>
      <c r="E20" s="1296">
        <v>40.612000000000002</v>
      </c>
      <c r="F20" s="718"/>
      <c r="G20" s="1296">
        <v>29.134</v>
      </c>
      <c r="H20" s="1296">
        <v>21.187999999999999</v>
      </c>
      <c r="I20" s="1296">
        <v>6.9329999999999998</v>
      </c>
      <c r="J20" s="1296">
        <v>6.3620000000000001</v>
      </c>
      <c r="K20" s="1296">
        <v>7.62</v>
      </c>
      <c r="L20" s="1296">
        <v>5.2939999999999996</v>
      </c>
      <c r="M20" s="1296">
        <v>11.680999999999999</v>
      </c>
      <c r="N20" s="1296">
        <v>13.237</v>
      </c>
      <c r="O20" s="1296">
        <v>63.929000000000002</v>
      </c>
      <c r="P20" s="1296">
        <v>49.488</v>
      </c>
      <c r="Q20" s="1296">
        <v>82.819000000000003</v>
      </c>
      <c r="R20" s="1296">
        <v>69.941000000000003</v>
      </c>
      <c r="S20" s="1296">
        <v>25.765000000000001</v>
      </c>
      <c r="T20" s="1296">
        <v>66.814999999999998</v>
      </c>
      <c r="U20" s="1296">
        <v>68.864999999999995</v>
      </c>
      <c r="V20" s="1296">
        <v>13.199</v>
      </c>
      <c r="W20" s="1296">
        <v>24</v>
      </c>
      <c r="X20" s="1296">
        <v>11.598000000000001</v>
      </c>
      <c r="Y20" s="1296">
        <v>12.645</v>
      </c>
      <c r="Z20" s="1296">
        <v>13.83</v>
      </c>
      <c r="AA20" s="1296">
        <v>19.312000000000001</v>
      </c>
      <c r="AB20" s="1296">
        <v>20.725999999999999</v>
      </c>
      <c r="AC20" s="1296">
        <v>12.45</v>
      </c>
      <c r="AD20" s="1296">
        <v>11.739000000000001</v>
      </c>
      <c r="AE20" s="1296">
        <v>19.529</v>
      </c>
      <c r="AF20" s="1296">
        <v>16.699000000000002</v>
      </c>
      <c r="AG20" s="1296">
        <v>14.824999999999999</v>
      </c>
      <c r="AH20" s="1296">
        <v>18.986999999999998</v>
      </c>
      <c r="AI20" s="1296">
        <v>59</v>
      </c>
      <c r="AJ20" s="1296">
        <v>18</v>
      </c>
      <c r="AK20" s="1296">
        <v>22</v>
      </c>
      <c r="AL20" s="1296">
        <v>84</v>
      </c>
      <c r="AM20" s="1296">
        <v>34</v>
      </c>
      <c r="AN20" s="1296">
        <v>42</v>
      </c>
      <c r="AO20" s="1296">
        <v>81</v>
      </c>
      <c r="AP20" s="1296">
        <v>54</v>
      </c>
      <c r="AQ20" s="1297">
        <v>102</v>
      </c>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row>
    <row r="21" spans="1:80" s="42" customFormat="1" ht="30">
      <c r="A21" s="1036" t="s">
        <v>364</v>
      </c>
      <c r="B21" s="1036" t="s">
        <v>363</v>
      </c>
      <c r="C21" s="1044"/>
      <c r="D21" s="798"/>
      <c r="E21" s="1033"/>
      <c r="F21" s="798"/>
      <c r="G21" s="1033"/>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3"/>
      <c r="AK21" s="1033"/>
      <c r="AL21" s="1033"/>
      <c r="AM21" s="1033">
        <v>2117</v>
      </c>
      <c r="AN21" s="1033">
        <v>1692</v>
      </c>
      <c r="AO21" s="1033">
        <v>1620</v>
      </c>
      <c r="AP21" s="1033">
        <v>1870</v>
      </c>
      <c r="AQ21" s="1037">
        <v>1780</v>
      </c>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row>
    <row r="22" spans="1:80" s="117" customFormat="1" ht="15">
      <c r="A22" s="796" t="s">
        <v>322</v>
      </c>
      <c r="B22" s="906" t="s">
        <v>353</v>
      </c>
      <c r="C22" s="906"/>
      <c r="D22" s="548">
        <v>110372.15700000001</v>
      </c>
      <c r="E22" s="548">
        <v>114115.689</v>
      </c>
      <c r="F22" s="548">
        <v>117887.618</v>
      </c>
      <c r="G22" s="548">
        <v>125072.93399999999</v>
      </c>
      <c r="H22" s="548">
        <v>122950.72500000001</v>
      </c>
      <c r="I22" s="548">
        <v>129259.485</v>
      </c>
      <c r="J22" s="548">
        <v>131631.37</v>
      </c>
      <c r="K22" s="548">
        <v>132981.215</v>
      </c>
      <c r="L22" s="548">
        <v>135565.28899999999</v>
      </c>
      <c r="M22" s="548">
        <f>M32</f>
        <v>139093.383</v>
      </c>
      <c r="N22" s="548">
        <v>143952.05600000001</v>
      </c>
      <c r="O22" s="548">
        <v>146473.897</v>
      </c>
      <c r="P22" s="548">
        <f>P32</f>
        <v>144202.35200000001</v>
      </c>
      <c r="Q22" s="548">
        <v>146986.505</v>
      </c>
      <c r="R22" s="548">
        <v>145444.28700000001</v>
      </c>
      <c r="S22" s="548">
        <v>146193.57</v>
      </c>
      <c r="T22" s="548">
        <v>148446.14499999999</v>
      </c>
      <c r="U22" s="548">
        <v>149242.633</v>
      </c>
      <c r="V22" s="548">
        <v>150857.21</v>
      </c>
      <c r="W22" s="548">
        <v>151904</v>
      </c>
      <c r="X22" s="548">
        <v>152672.685</v>
      </c>
      <c r="Y22" s="548">
        <v>171378.386</v>
      </c>
      <c r="Z22" s="548">
        <v>171173.601</v>
      </c>
      <c r="AA22" s="548">
        <v>174386.766</v>
      </c>
      <c r="AB22" s="548">
        <v>178367.476</v>
      </c>
      <c r="AC22" s="548">
        <v>179137.77799999999</v>
      </c>
      <c r="AD22" s="548">
        <v>178256.829</v>
      </c>
      <c r="AE22" s="548">
        <v>195758.46100000001</v>
      </c>
      <c r="AF22" s="548">
        <v>194856.15299999999</v>
      </c>
      <c r="AG22" s="548">
        <v>199391.53200000001</v>
      </c>
      <c r="AH22" s="548">
        <v>201180.557</v>
      </c>
      <c r="AI22" s="548">
        <v>205066</v>
      </c>
      <c r="AJ22" s="548">
        <v>207116</v>
      </c>
      <c r="AK22" s="548">
        <v>207248</v>
      </c>
      <c r="AL22" s="548">
        <v>209683</v>
      </c>
      <c r="AM22" s="548">
        <v>220917</v>
      </c>
      <c r="AN22" s="548">
        <v>218715</v>
      </c>
      <c r="AO22" s="548">
        <v>219208</v>
      </c>
      <c r="AP22" s="548">
        <v>225617</v>
      </c>
      <c r="AQ22" s="1045">
        <v>242816</v>
      </c>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row>
    <row r="23" spans="1:80" s="73" customFormat="1" ht="12" customHeight="1" thickBot="1">
      <c r="A23" s="1055"/>
      <c r="B23" s="1055"/>
      <c r="C23" s="1055"/>
      <c r="D23" s="1056"/>
      <c r="E23" s="1056"/>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6"/>
      <c r="AM23" s="1056"/>
      <c r="AN23" s="1056"/>
      <c r="AO23" s="1056"/>
      <c r="AP23" s="1056"/>
      <c r="AQ23" s="1057"/>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row>
    <row r="24" spans="1:80" s="117" customFormat="1" ht="19.5" customHeight="1" thickBot="1">
      <c r="A24" s="343" t="s">
        <v>365</v>
      </c>
      <c r="B24" s="305" t="s">
        <v>182</v>
      </c>
      <c r="C24" s="305"/>
      <c r="D24" s="794" t="s">
        <v>304</v>
      </c>
      <c r="E24" s="794" t="s">
        <v>303</v>
      </c>
      <c r="F24" s="794" t="s">
        <v>302</v>
      </c>
      <c r="G24" s="794" t="s">
        <v>301</v>
      </c>
      <c r="H24" s="794" t="s">
        <v>297</v>
      </c>
      <c r="I24" s="794" t="s">
        <v>298</v>
      </c>
      <c r="J24" s="794" t="s">
        <v>299</v>
      </c>
      <c r="K24" s="794" t="s">
        <v>300</v>
      </c>
      <c r="L24" s="794" t="s">
        <v>296</v>
      </c>
      <c r="M24" s="794" t="s">
        <v>295</v>
      </c>
      <c r="N24" s="794" t="s">
        <v>294</v>
      </c>
      <c r="O24" s="794" t="s">
        <v>293</v>
      </c>
      <c r="P24" s="794" t="s">
        <v>292</v>
      </c>
      <c r="Q24" s="794" t="s">
        <v>291</v>
      </c>
      <c r="R24" s="794" t="s">
        <v>290</v>
      </c>
      <c r="S24" s="794" t="s">
        <v>289</v>
      </c>
      <c r="T24" s="794" t="s">
        <v>288</v>
      </c>
      <c r="U24" s="794" t="s">
        <v>287</v>
      </c>
      <c r="V24" s="794" t="s">
        <v>286</v>
      </c>
      <c r="W24" s="870" t="s">
        <v>285</v>
      </c>
      <c r="X24" s="870" t="s">
        <v>281</v>
      </c>
      <c r="Y24" s="870" t="s">
        <v>282</v>
      </c>
      <c r="Z24" s="870" t="s">
        <v>283</v>
      </c>
      <c r="AA24" s="870" t="s">
        <v>284</v>
      </c>
      <c r="AB24" s="870" t="s">
        <v>277</v>
      </c>
      <c r="AC24" s="870" t="s">
        <v>278</v>
      </c>
      <c r="AD24" s="870" t="s">
        <v>279</v>
      </c>
      <c r="AE24" s="870" t="s">
        <v>280</v>
      </c>
      <c r="AF24" s="870" t="s">
        <v>274</v>
      </c>
      <c r="AG24" s="870" t="s">
        <v>275</v>
      </c>
      <c r="AH24" s="870" t="s">
        <v>276</v>
      </c>
      <c r="AI24" s="870" t="s">
        <v>256</v>
      </c>
      <c r="AJ24" s="870" t="s">
        <v>273</v>
      </c>
      <c r="AK24" s="870" t="s">
        <v>272</v>
      </c>
      <c r="AL24" s="870" t="s">
        <v>255</v>
      </c>
      <c r="AM24" s="870" t="s">
        <v>271</v>
      </c>
      <c r="AN24" s="305" t="s">
        <v>270</v>
      </c>
      <c r="AO24" s="305" t="s">
        <v>269</v>
      </c>
      <c r="AP24" s="305" t="s">
        <v>268</v>
      </c>
      <c r="AQ24" s="659" t="str">
        <f>AQ4</f>
        <v>31.12.2018</v>
      </c>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row>
    <row r="25" spans="1:80" ht="30">
      <c r="A25" s="1051" t="s">
        <v>732</v>
      </c>
      <c r="B25" s="1052" t="s">
        <v>733</v>
      </c>
      <c r="C25" s="1052"/>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4"/>
    </row>
    <row r="26" spans="1:80">
      <c r="A26" s="1038" t="s">
        <v>323</v>
      </c>
      <c r="B26" s="859" t="s">
        <v>345</v>
      </c>
      <c r="C26" s="859"/>
      <c r="D26" s="803"/>
      <c r="E26" s="709"/>
      <c r="F26" s="709"/>
      <c r="G26" s="709"/>
      <c r="H26" s="709"/>
      <c r="I26" s="709"/>
      <c r="J26" s="709"/>
      <c r="K26" s="533">
        <v>91621.198999999993</v>
      </c>
      <c r="L26" s="709"/>
      <c r="M26" s="709"/>
      <c r="N26" s="709"/>
      <c r="O26" s="533">
        <v>100390.21400000001</v>
      </c>
      <c r="P26" s="533">
        <v>103160.749</v>
      </c>
      <c r="Q26" s="533">
        <v>103077.041</v>
      </c>
      <c r="R26" s="533">
        <v>104175.048</v>
      </c>
      <c r="S26" s="533">
        <v>106538.784</v>
      </c>
      <c r="T26" s="533">
        <v>111504.478</v>
      </c>
      <c r="U26" s="533">
        <v>112476.2</v>
      </c>
      <c r="V26" s="533">
        <v>112148.49800000001</v>
      </c>
      <c r="W26" s="533">
        <v>111290.272</v>
      </c>
      <c r="X26" s="533">
        <v>113202.946</v>
      </c>
      <c r="Y26" s="533">
        <v>118665.118</v>
      </c>
      <c r="Z26" s="533">
        <v>118987.162</v>
      </c>
      <c r="AA26" s="533">
        <v>122331.368</v>
      </c>
      <c r="AB26" s="533">
        <v>125495</v>
      </c>
      <c r="AC26" s="533">
        <v>125720.015</v>
      </c>
      <c r="AD26" s="533">
        <v>126013.75900000001</v>
      </c>
      <c r="AE26" s="533">
        <v>128269.113</v>
      </c>
      <c r="AF26" s="533">
        <v>131827.72200000001</v>
      </c>
      <c r="AG26" s="533">
        <v>134377.413</v>
      </c>
      <c r="AH26" s="533">
        <v>135241.36600000001</v>
      </c>
      <c r="AI26" s="533">
        <v>140021</v>
      </c>
      <c r="AJ26" s="533">
        <v>142889</v>
      </c>
      <c r="AK26" s="533">
        <v>142273</v>
      </c>
      <c r="AL26" s="533">
        <v>141879</v>
      </c>
      <c r="AM26" s="532">
        <v>142484</v>
      </c>
      <c r="AN26" s="532">
        <v>144415</v>
      </c>
      <c r="AO26" s="532">
        <v>145360</v>
      </c>
      <c r="AP26" s="532">
        <v>146115</v>
      </c>
      <c r="AQ26" s="534">
        <v>155079</v>
      </c>
    </row>
    <row r="27" spans="1:80">
      <c r="A27" s="1038" t="s">
        <v>324</v>
      </c>
      <c r="B27" s="859" t="s">
        <v>343</v>
      </c>
      <c r="C27" s="859"/>
      <c r="D27" s="803"/>
      <c r="E27" s="709"/>
      <c r="F27" s="709"/>
      <c r="G27" s="709"/>
      <c r="H27" s="709"/>
      <c r="I27" s="709"/>
      <c r="J27" s="709"/>
      <c r="K27" s="533">
        <v>24973.331999999999</v>
      </c>
      <c r="L27" s="709"/>
      <c r="M27" s="709"/>
      <c r="N27" s="709"/>
      <c r="O27" s="533">
        <v>28780.73</v>
      </c>
      <c r="P27" s="533">
        <v>25169.256000000001</v>
      </c>
      <c r="Q27" s="533">
        <v>27881.421999999999</v>
      </c>
      <c r="R27" s="533">
        <v>25827.418000000001</v>
      </c>
      <c r="S27" s="533">
        <v>23586.601999999999</v>
      </c>
      <c r="T27" s="533">
        <v>21465.612000000001</v>
      </c>
      <c r="U27" s="533">
        <v>20082.96</v>
      </c>
      <c r="V27" s="533">
        <v>20002.789000000001</v>
      </c>
      <c r="W27" s="533">
        <v>21062.058000000001</v>
      </c>
      <c r="X27" s="533">
        <v>22178.107</v>
      </c>
      <c r="Y27" s="533">
        <v>32944.5</v>
      </c>
      <c r="Z27" s="533">
        <f>31900.203</f>
        <v>31900.203000000001</v>
      </c>
      <c r="AA27" s="533">
        <v>30295.632000000001</v>
      </c>
      <c r="AB27" s="533">
        <v>31748</v>
      </c>
      <c r="AC27" s="533">
        <v>31349.325000000001</v>
      </c>
      <c r="AD27" s="533">
        <v>29241.492999999999</v>
      </c>
      <c r="AE27" s="533">
        <v>42606.51</v>
      </c>
      <c r="AF27" s="533">
        <v>19563.182000000001</v>
      </c>
      <c r="AG27" s="533">
        <v>40021.737000000001</v>
      </c>
      <c r="AH27" s="533">
        <v>39384.201999999997</v>
      </c>
      <c r="AI27" s="533">
        <v>37639</v>
      </c>
      <c r="AJ27" s="533">
        <v>37997</v>
      </c>
      <c r="AK27" s="533">
        <v>38722</v>
      </c>
      <c r="AL27" s="533">
        <v>40612</v>
      </c>
      <c r="AM27" s="532">
        <v>48570</v>
      </c>
      <c r="AN27" s="532">
        <v>44432</v>
      </c>
      <c r="AO27" s="532">
        <v>44773</v>
      </c>
      <c r="AP27" s="532">
        <v>48995</v>
      </c>
      <c r="AQ27" s="534">
        <v>55051</v>
      </c>
    </row>
    <row r="28" spans="1:80" ht="27">
      <c r="A28" s="1038" t="s">
        <v>692</v>
      </c>
      <c r="B28" s="859" t="s">
        <v>693</v>
      </c>
      <c r="C28" s="859"/>
      <c r="D28" s="803"/>
      <c r="E28" s="709"/>
      <c r="F28" s="709"/>
      <c r="G28" s="709"/>
      <c r="H28" s="709"/>
      <c r="I28" s="709"/>
      <c r="J28" s="709"/>
      <c r="K28" s="533">
        <f>8860.939+5087.626</f>
        <v>13948.565000000001</v>
      </c>
      <c r="L28" s="709"/>
      <c r="M28" s="709"/>
      <c r="N28" s="709"/>
      <c r="O28" s="533">
        <f>9163.92+5410.622</f>
        <v>14574.542000000001</v>
      </c>
      <c r="P28" s="533">
        <f>8375.564+4738.609</f>
        <v>13114.173000000001</v>
      </c>
      <c r="Q28" s="533">
        <f>8423.715+4539.945</f>
        <v>12963.66</v>
      </c>
      <c r="R28" s="533">
        <f>8658.043+4680.877</f>
        <v>13338.92</v>
      </c>
      <c r="S28" s="533">
        <f>9008.039+4651.076</f>
        <v>13659.115000000002</v>
      </c>
      <c r="T28" s="533">
        <f>8520.149+4243.077</f>
        <v>12763.225999999999</v>
      </c>
      <c r="U28" s="533">
        <f>8705.611+4506.603</f>
        <v>13212.214</v>
      </c>
      <c r="V28" s="533">
        <f>5170.13+9084.428</f>
        <v>14254.558000000001</v>
      </c>
      <c r="W28" s="533">
        <v>15040.25</v>
      </c>
      <c r="X28" s="533">
        <v>14135.346</v>
      </c>
      <c r="Y28" s="533">
        <v>15785.325999999999</v>
      </c>
      <c r="Z28" s="533">
        <v>16610.11</v>
      </c>
      <c r="AA28" s="533">
        <v>17475.288</v>
      </c>
      <c r="AB28" s="533">
        <v>17239</v>
      </c>
      <c r="AC28" s="533">
        <v>17872.913</v>
      </c>
      <c r="AD28" s="533">
        <v>18928.099999999999</v>
      </c>
      <c r="AE28" s="533">
        <v>20122.651999999998</v>
      </c>
      <c r="AF28" s="533">
        <v>19563.182000000001</v>
      </c>
      <c r="AG28" s="533">
        <v>20468.589</v>
      </c>
      <c r="AH28" s="533">
        <v>21706.146000000001</v>
      </c>
      <c r="AI28" s="533">
        <v>22734</v>
      </c>
      <c r="AJ28" s="533">
        <v>21861</v>
      </c>
      <c r="AK28" s="533">
        <v>22307</v>
      </c>
      <c r="AL28" s="533">
        <v>23351</v>
      </c>
      <c r="AM28" s="532">
        <v>24127</v>
      </c>
      <c r="AN28" s="532">
        <v>23459</v>
      </c>
      <c r="AO28" s="532">
        <v>23804</v>
      </c>
      <c r="AP28" s="532">
        <v>25098</v>
      </c>
      <c r="AQ28" s="534">
        <v>26805</v>
      </c>
    </row>
    <row r="29" spans="1:80">
      <c r="A29" s="1038" t="s">
        <v>326</v>
      </c>
      <c r="B29" s="859" t="s">
        <v>350</v>
      </c>
      <c r="C29" s="859"/>
      <c r="D29" s="803"/>
      <c r="E29" s="709"/>
      <c r="F29" s="709"/>
      <c r="G29" s="709"/>
      <c r="H29" s="709"/>
      <c r="I29" s="709"/>
      <c r="J29" s="709"/>
      <c r="K29" s="533">
        <f>K14</f>
        <v>1856.819</v>
      </c>
      <c r="L29" s="709"/>
      <c r="M29" s="709"/>
      <c r="N29" s="709"/>
      <c r="O29" s="533">
        <v>1988.0129999999999</v>
      </c>
      <c r="P29" s="533">
        <v>1910.3579999999999</v>
      </c>
      <c r="Q29" s="533">
        <v>1949.25</v>
      </c>
      <c r="R29" s="533">
        <f>R14</f>
        <v>1890.2760000000001</v>
      </c>
      <c r="S29" s="533">
        <v>1557.653</v>
      </c>
      <c r="T29" s="533">
        <v>1583.7909999999999</v>
      </c>
      <c r="U29" s="533">
        <v>1993.2090000000001</v>
      </c>
      <c r="V29" s="533">
        <v>2271.067</v>
      </c>
      <c r="W29" s="533">
        <v>2863.6509999999998</v>
      </c>
      <c r="X29" s="533">
        <v>2877.1689999999999</v>
      </c>
      <c r="Y29" s="533">
        <v>3373.2289999999998</v>
      </c>
      <c r="Z29" s="533">
        <v>3362.5569999999998</v>
      </c>
      <c r="AA29" s="533">
        <v>3421.7040000000002</v>
      </c>
      <c r="AB29" s="533">
        <v>3557</v>
      </c>
      <c r="AC29" s="533">
        <v>3587.788</v>
      </c>
      <c r="AD29" s="533">
        <v>3605.614</v>
      </c>
      <c r="AE29" s="533">
        <v>3924.0990000000002</v>
      </c>
      <c r="AF29" s="533">
        <v>3877.9090000000001</v>
      </c>
      <c r="AG29" s="533">
        <v>4061.4389999999999</v>
      </c>
      <c r="AH29" s="533">
        <v>4075.8780000000002</v>
      </c>
      <c r="AI29" s="533">
        <v>4662</v>
      </c>
      <c r="AJ29" s="533">
        <v>4340</v>
      </c>
      <c r="AK29" s="533">
        <v>3939</v>
      </c>
      <c r="AL29" s="533">
        <v>3735</v>
      </c>
      <c r="AM29" s="532">
        <v>3563</v>
      </c>
      <c r="AN29" s="532">
        <v>3465</v>
      </c>
      <c r="AO29" s="532">
        <v>3643</v>
      </c>
      <c r="AP29" s="532">
        <v>3386</v>
      </c>
      <c r="AQ29" s="534">
        <v>4093</v>
      </c>
    </row>
    <row r="30" spans="1:80">
      <c r="A30" s="1038" t="s">
        <v>327</v>
      </c>
      <c r="B30" s="859" t="s">
        <v>351</v>
      </c>
      <c r="C30" s="859"/>
      <c r="D30" s="803"/>
      <c r="E30" s="709"/>
      <c r="F30" s="709"/>
      <c r="G30" s="709"/>
      <c r="H30" s="709"/>
      <c r="I30" s="709"/>
      <c r="J30" s="709"/>
      <c r="K30" s="533">
        <v>446.17500000000001</v>
      </c>
      <c r="L30" s="709"/>
      <c r="M30" s="709"/>
      <c r="N30" s="709"/>
      <c r="O30" s="533">
        <v>644.005</v>
      </c>
      <c r="P30" s="533">
        <v>625.798</v>
      </c>
      <c r="Q30" s="533">
        <v>970.31899999999996</v>
      </c>
      <c r="R30" s="533">
        <f>R15</f>
        <v>210.334</v>
      </c>
      <c r="S30" s="533">
        <v>851.41600000000005</v>
      </c>
      <c r="T30" s="533">
        <v>1129.038</v>
      </c>
      <c r="U30" s="533">
        <v>1478.05</v>
      </c>
      <c r="V30" s="533">
        <v>2180.2979999999998</v>
      </c>
      <c r="W30" s="533">
        <v>1647.95</v>
      </c>
      <c r="X30" s="533">
        <v>279.11700000000002</v>
      </c>
      <c r="Y30" s="533">
        <v>603.32000000000005</v>
      </c>
      <c r="Z30" s="533">
        <v>306.71899999999999</v>
      </c>
      <c r="AA30" s="533">
        <v>856.12400000000002</v>
      </c>
      <c r="AB30" s="533">
        <v>322</v>
      </c>
      <c r="AC30" s="533">
        <v>600.75599999999997</v>
      </c>
      <c r="AD30" s="533">
        <v>460.70600000000002</v>
      </c>
      <c r="AE30" s="533">
        <v>829.11400000000003</v>
      </c>
      <c r="AF30" s="533">
        <v>254.03899999999999</v>
      </c>
      <c r="AG30" s="533">
        <v>454.65199999999999</v>
      </c>
      <c r="AH30" s="533">
        <v>761.95299999999997</v>
      </c>
      <c r="AI30" s="533">
        <v>0</v>
      </c>
      <c r="AJ30" s="533">
        <v>20</v>
      </c>
      <c r="AK30" s="533"/>
      <c r="AL30" s="533">
        <v>98</v>
      </c>
      <c r="AM30" s="532">
        <v>48</v>
      </c>
      <c r="AN30" s="532">
        <v>1244</v>
      </c>
      <c r="AO30" s="532">
        <v>0</v>
      </c>
      <c r="AP30" s="532">
        <v>145</v>
      </c>
      <c r="AQ30" s="534">
        <v>0</v>
      </c>
    </row>
    <row r="31" spans="1:80" ht="25.5" customHeight="1">
      <c r="A31" s="1038" t="s">
        <v>328</v>
      </c>
      <c r="B31" s="859" t="s">
        <v>352</v>
      </c>
      <c r="C31" s="859"/>
      <c r="D31" s="803"/>
      <c r="E31" s="709"/>
      <c r="F31" s="709"/>
      <c r="G31" s="709"/>
      <c r="H31" s="709"/>
      <c r="I31" s="709"/>
      <c r="J31" s="709"/>
      <c r="K31" s="533">
        <v>135.125</v>
      </c>
      <c r="L31" s="709"/>
      <c r="M31" s="709"/>
      <c r="N31" s="709"/>
      <c r="O31" s="533">
        <v>96.393000000000001</v>
      </c>
      <c r="P31" s="533">
        <v>222.018</v>
      </c>
      <c r="Q31" s="533">
        <v>144.81299999999999</v>
      </c>
      <c r="R31" s="533">
        <v>2.2909999999999999</v>
      </c>
      <c r="S31" s="533"/>
      <c r="T31" s="533"/>
      <c r="U31" s="533"/>
      <c r="V31" s="533"/>
      <c r="W31" s="533">
        <v>0</v>
      </c>
      <c r="X31" s="533"/>
      <c r="Y31" s="533">
        <v>6.8929999999999998</v>
      </c>
      <c r="Z31" s="533">
        <v>6.85</v>
      </c>
      <c r="AA31" s="533">
        <v>6.65</v>
      </c>
      <c r="AB31" s="533">
        <v>7</v>
      </c>
      <c r="AC31" s="533">
        <v>6.9809999999999999</v>
      </c>
      <c r="AD31" s="533">
        <v>7.157</v>
      </c>
      <c r="AE31" s="533">
        <v>6.9729999999999999</v>
      </c>
      <c r="AF31" s="533">
        <v>7.4009999999999998</v>
      </c>
      <c r="AG31" s="533">
        <v>7.702</v>
      </c>
      <c r="AH31" s="533">
        <v>11.012</v>
      </c>
      <c r="AI31" s="533">
        <v>10</v>
      </c>
      <c r="AJ31" s="533">
        <v>9</v>
      </c>
      <c r="AK31" s="533">
        <v>7</v>
      </c>
      <c r="AL31" s="533">
        <v>8</v>
      </c>
      <c r="AM31" s="532">
        <v>2125</v>
      </c>
      <c r="AN31" s="532">
        <v>1700</v>
      </c>
      <c r="AO31" s="532">
        <v>1628</v>
      </c>
      <c r="AP31" s="532">
        <v>1878</v>
      </c>
      <c r="AQ31" s="534">
        <v>1788</v>
      </c>
    </row>
    <row r="32" spans="1:80" s="117" customFormat="1" ht="15">
      <c r="A32" s="796" t="s">
        <v>322</v>
      </c>
      <c r="B32" s="657" t="s">
        <v>353</v>
      </c>
      <c r="C32" s="657"/>
      <c r="D32" s="548">
        <f t="shared" ref="D32:J32" si="18">D22</f>
        <v>110372.15700000001</v>
      </c>
      <c r="E32" s="548">
        <f t="shared" si="18"/>
        <v>114115.689</v>
      </c>
      <c r="F32" s="548">
        <f t="shared" si="18"/>
        <v>117887.618</v>
      </c>
      <c r="G32" s="548">
        <f t="shared" si="18"/>
        <v>125072.93399999999</v>
      </c>
      <c r="H32" s="548">
        <f t="shared" si="18"/>
        <v>122950.72500000001</v>
      </c>
      <c r="I32" s="548">
        <f t="shared" si="18"/>
        <v>129259.485</v>
      </c>
      <c r="J32" s="548">
        <f t="shared" si="18"/>
        <v>131631.37</v>
      </c>
      <c r="K32" s="548">
        <v>132981.215</v>
      </c>
      <c r="L32" s="548">
        <v>135565.28899999999</v>
      </c>
      <c r="M32" s="548">
        <v>139093.383</v>
      </c>
      <c r="N32" s="548">
        <v>143952.05600000001</v>
      </c>
      <c r="O32" s="548">
        <v>146473.897</v>
      </c>
      <c r="P32" s="548">
        <v>144202.35200000001</v>
      </c>
      <c r="Q32" s="548">
        <v>146986.505</v>
      </c>
      <c r="R32" s="548">
        <f>R22</f>
        <v>145444.28700000001</v>
      </c>
      <c r="S32" s="548">
        <v>146193.57</v>
      </c>
      <c r="T32" s="548">
        <v>148446.14499999999</v>
      </c>
      <c r="U32" s="548">
        <f>U22</f>
        <v>149242.633</v>
      </c>
      <c r="V32" s="548">
        <v>150857.21</v>
      </c>
      <c r="W32" s="548">
        <v>151904.18100000001</v>
      </c>
      <c r="X32" s="548">
        <v>152672.685</v>
      </c>
      <c r="Y32" s="548">
        <v>171378.386</v>
      </c>
      <c r="Z32" s="548">
        <v>171173.601</v>
      </c>
      <c r="AA32" s="548">
        <v>174386.766</v>
      </c>
      <c r="AB32" s="548">
        <v>178367</v>
      </c>
      <c r="AC32" s="548">
        <v>179137.77799999999</v>
      </c>
      <c r="AD32" s="548">
        <v>178256.829</v>
      </c>
      <c r="AE32" s="548">
        <v>195758.46100000001</v>
      </c>
      <c r="AF32" s="548">
        <v>194856.15299999999</v>
      </c>
      <c r="AG32" s="548">
        <v>199391.53200000001</v>
      </c>
      <c r="AH32" s="548">
        <v>201180.557</v>
      </c>
      <c r="AI32" s="548">
        <v>205066</v>
      </c>
      <c r="AJ32" s="548">
        <v>207116</v>
      </c>
      <c r="AK32" s="548">
        <v>207248</v>
      </c>
      <c r="AL32" s="548">
        <v>209683</v>
      </c>
      <c r="AM32" s="549">
        <v>220917</v>
      </c>
      <c r="AN32" s="549">
        <f t="shared" ref="AN32:AQ32" si="19">SUM(AN26:AN31)</f>
        <v>218715</v>
      </c>
      <c r="AO32" s="549">
        <f t="shared" si="19"/>
        <v>219208</v>
      </c>
      <c r="AP32" s="549">
        <f t="shared" si="19"/>
        <v>225617</v>
      </c>
      <c r="AQ32" s="655">
        <f t="shared" si="19"/>
        <v>242816</v>
      </c>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row>
    <row r="33" spans="40:40" s="146" customFormat="1">
      <c r="AN33" s="145"/>
    </row>
    <row r="34" spans="40:40" s="146" customFormat="1">
      <c r="AN34" s="145"/>
    </row>
    <row r="35" spans="40:40" s="146" customFormat="1">
      <c r="AN35" s="145"/>
    </row>
    <row r="36" spans="40:40" s="146" customFormat="1">
      <c r="AN36" s="145"/>
    </row>
    <row r="37" spans="40:40" s="146" customFormat="1">
      <c r="AN37" s="145"/>
    </row>
    <row r="38" spans="40:40" s="146" customFormat="1">
      <c r="AN38" s="145"/>
    </row>
    <row r="39" spans="40:40" s="146" customFormat="1">
      <c r="AN39" s="145"/>
    </row>
    <row r="40" spans="40:40" s="146" customFormat="1">
      <c r="AN40" s="145"/>
    </row>
    <row r="41" spans="40:40" s="146" customFormat="1">
      <c r="AN41" s="145"/>
    </row>
    <row r="42" spans="40:40" s="146" customFormat="1">
      <c r="AN42" s="145"/>
    </row>
    <row r="43" spans="40:40" s="146" customFormat="1">
      <c r="AN43" s="145"/>
    </row>
    <row r="44" spans="40:40" s="146" customFormat="1">
      <c r="AN44" s="145"/>
    </row>
    <row r="45" spans="40:40" s="146" customFormat="1">
      <c r="AN45" s="145"/>
    </row>
    <row r="46" spans="40:40" s="146" customFormat="1">
      <c r="AN46" s="145"/>
    </row>
    <row r="47" spans="40:40" s="146" customFormat="1">
      <c r="AN47" s="145"/>
    </row>
    <row r="48" spans="40:40" s="146" customFormat="1">
      <c r="AN48" s="145"/>
    </row>
    <row r="49" spans="40:40" s="146" customFormat="1">
      <c r="AN49" s="145"/>
    </row>
    <row r="50" spans="40:40" s="146" customFormat="1">
      <c r="AN50" s="145"/>
    </row>
    <row r="51" spans="40:40" s="146" customFormat="1">
      <c r="AN51" s="145"/>
    </row>
    <row r="52" spans="40:40" s="146" customFormat="1">
      <c r="AN52" s="145"/>
    </row>
    <row r="53" spans="40:40" s="146" customFormat="1">
      <c r="AN53" s="145"/>
    </row>
    <row r="54" spans="40:40" s="146" customFormat="1">
      <c r="AN54" s="145"/>
    </row>
    <row r="55" spans="40:40" s="146" customFormat="1">
      <c r="AN55" s="145"/>
    </row>
    <row r="56" spans="40:40" s="146" customFormat="1">
      <c r="AN56" s="145"/>
    </row>
    <row r="57" spans="40:40" s="146" customFormat="1">
      <c r="AN57" s="145"/>
    </row>
    <row r="58" spans="40:40" s="146" customFormat="1">
      <c r="AN58" s="145"/>
    </row>
    <row r="59" spans="40:40" s="146" customFormat="1">
      <c r="AN59" s="145"/>
    </row>
    <row r="60" spans="40:40" s="146" customFormat="1">
      <c r="AN60" s="145"/>
    </row>
    <row r="61" spans="40:40" s="146" customFormat="1">
      <c r="AN61" s="145"/>
    </row>
    <row r="62" spans="40:40" s="146" customFormat="1">
      <c r="AN62" s="145"/>
    </row>
    <row r="63" spans="40:40" s="146" customFormat="1">
      <c r="AN63" s="145"/>
    </row>
    <row r="64" spans="40:40" s="146" customFormat="1">
      <c r="AN64" s="145"/>
    </row>
    <row r="65" spans="40:40" s="146" customFormat="1">
      <c r="AN65" s="145"/>
    </row>
    <row r="66" spans="40:40" s="146" customFormat="1">
      <c r="AN66" s="145"/>
    </row>
    <row r="67" spans="40:40" s="146" customFormat="1">
      <c r="AN67" s="145"/>
    </row>
    <row r="68" spans="40:40" s="146" customFormat="1">
      <c r="AN68" s="145"/>
    </row>
    <row r="69" spans="40:40" s="146" customFormat="1">
      <c r="AN69" s="145"/>
    </row>
    <row r="70" spans="40:40" s="146" customFormat="1">
      <c r="AN70" s="145"/>
    </row>
    <row r="71" spans="40:40" s="146" customFormat="1">
      <c r="AN71" s="145"/>
    </row>
    <row r="72" spans="40:40" s="146" customFormat="1">
      <c r="AN72" s="145"/>
    </row>
    <row r="73" spans="40:40" s="146" customFormat="1">
      <c r="AN73" s="145"/>
    </row>
    <row r="74" spans="40:40" s="146" customFormat="1">
      <c r="AN74" s="145"/>
    </row>
    <row r="75" spans="40:40" s="146" customFormat="1">
      <c r="AN75" s="145"/>
    </row>
    <row r="76" spans="40:40" s="146" customFormat="1">
      <c r="AN76" s="145"/>
    </row>
    <row r="77" spans="40:40" s="146" customFormat="1">
      <c r="AN77" s="145"/>
    </row>
    <row r="78" spans="40:40" s="146" customFormat="1">
      <c r="AN78" s="145"/>
    </row>
    <row r="79" spans="40:40" s="146" customFormat="1">
      <c r="AN79" s="145"/>
    </row>
    <row r="80" spans="40:40" s="146" customFormat="1">
      <c r="AN80" s="145"/>
    </row>
    <row r="81" spans="40:40" s="146" customFormat="1">
      <c r="AN81" s="145"/>
    </row>
    <row r="82" spans="40:40" s="146" customFormat="1">
      <c r="AN82" s="145"/>
    </row>
    <row r="83" spans="40:40" s="146" customFormat="1">
      <c r="AN83" s="145"/>
    </row>
    <row r="84" spans="40:40" s="146" customFormat="1">
      <c r="AN84" s="145"/>
    </row>
    <row r="85" spans="40:40" s="146" customFormat="1">
      <c r="AN85" s="145"/>
    </row>
    <row r="86" spans="40:40" s="146" customFormat="1">
      <c r="AN86" s="145"/>
    </row>
    <row r="87" spans="40:40" s="146" customFormat="1">
      <c r="AN87" s="145"/>
    </row>
    <row r="88" spans="40:40" s="146" customFormat="1">
      <c r="AN88" s="145"/>
    </row>
    <row r="89" spans="40:40" s="146" customFormat="1">
      <c r="AN89" s="145"/>
    </row>
    <row r="90" spans="40:40" s="146" customFormat="1">
      <c r="AN90" s="145"/>
    </row>
    <row r="91" spans="40:40" s="146" customFormat="1">
      <c r="AN91" s="145"/>
    </row>
    <row r="92" spans="40:40" s="146" customFormat="1">
      <c r="AN92" s="145"/>
    </row>
    <row r="93" spans="40:40" s="146" customFormat="1">
      <c r="AN93" s="145"/>
    </row>
    <row r="94" spans="40:40" s="146" customFormat="1">
      <c r="AN94" s="145"/>
    </row>
    <row r="95" spans="40:40" s="146" customFormat="1">
      <c r="AN95" s="145"/>
    </row>
    <row r="96" spans="40:40" s="146" customFormat="1">
      <c r="AN96" s="145"/>
    </row>
    <row r="97" spans="40:40" s="146" customFormat="1">
      <c r="AN97" s="145"/>
    </row>
    <row r="98" spans="40:40" s="146" customFormat="1">
      <c r="AN98" s="145"/>
    </row>
    <row r="99" spans="40:40" s="146" customFormat="1">
      <c r="AN99" s="145"/>
    </row>
    <row r="100" spans="40:40" s="146" customFormat="1">
      <c r="AN100" s="145"/>
    </row>
    <row r="101" spans="40:40" s="146" customFormat="1">
      <c r="AN101" s="145"/>
    </row>
    <row r="102" spans="40:40" s="146" customFormat="1">
      <c r="AN102" s="145"/>
    </row>
    <row r="103" spans="40:40" s="146" customFormat="1">
      <c r="AN103" s="145"/>
    </row>
    <row r="104" spans="40:40" s="146" customFormat="1">
      <c r="AN104" s="145"/>
    </row>
    <row r="105" spans="40:40" s="146" customFormat="1">
      <c r="AN105" s="145"/>
    </row>
    <row r="106" spans="40:40" s="146" customFormat="1">
      <c r="AN106" s="145"/>
    </row>
    <row r="107" spans="40:40" s="146" customFormat="1">
      <c r="AN107" s="145"/>
    </row>
    <row r="108" spans="40:40" s="146" customFormat="1">
      <c r="AN108" s="145"/>
    </row>
    <row r="109" spans="40:40" s="146" customFormat="1">
      <c r="AN109" s="145"/>
    </row>
    <row r="110" spans="40:40" s="146" customFormat="1">
      <c r="AN110" s="145"/>
    </row>
    <row r="111" spans="40:40" s="146" customFormat="1">
      <c r="AN111" s="145"/>
    </row>
    <row r="112" spans="40:40" s="146" customFormat="1">
      <c r="AN112" s="145"/>
    </row>
    <row r="113" spans="40:40" s="146" customFormat="1">
      <c r="AN113" s="145"/>
    </row>
    <row r="114" spans="40:40" s="146" customFormat="1">
      <c r="AN114" s="145"/>
    </row>
    <row r="115" spans="40:40" s="146" customFormat="1">
      <c r="AN115" s="145"/>
    </row>
    <row r="116" spans="40:40" s="146" customFormat="1">
      <c r="AN116" s="145"/>
    </row>
    <row r="117" spans="40:40" s="146" customFormat="1">
      <c r="AN117" s="145"/>
    </row>
    <row r="118" spans="40:40" s="146" customFormat="1">
      <c r="AN118" s="145"/>
    </row>
    <row r="119" spans="40:40" s="146" customFormat="1">
      <c r="AN119" s="145"/>
    </row>
    <row r="120" spans="40:40" s="146" customFormat="1">
      <c r="AN120" s="145"/>
    </row>
    <row r="121" spans="40:40" s="146" customFormat="1">
      <c r="AN121" s="145"/>
    </row>
    <row r="122" spans="40:40" s="146" customFormat="1">
      <c r="AN122" s="145"/>
    </row>
    <row r="123" spans="40:40" s="146" customFormat="1">
      <c r="AN123" s="145"/>
    </row>
    <row r="124" spans="40:40" s="146" customFormat="1">
      <c r="AN124" s="145"/>
    </row>
    <row r="125" spans="40:40" s="146" customFormat="1">
      <c r="AN125" s="145"/>
    </row>
    <row r="126" spans="40:40" s="146" customFormat="1">
      <c r="AN126" s="145"/>
    </row>
    <row r="127" spans="40:40" s="146" customFormat="1">
      <c r="AN127" s="145"/>
    </row>
    <row r="128" spans="40:40" s="146" customFormat="1">
      <c r="AN128" s="145"/>
    </row>
    <row r="129" spans="40:40" s="146" customFormat="1">
      <c r="AN129" s="145"/>
    </row>
    <row r="130" spans="40:40" s="146" customFormat="1">
      <c r="AN130" s="145"/>
    </row>
    <row r="131" spans="40:40" s="146" customFormat="1">
      <c r="AN131" s="145"/>
    </row>
    <row r="132" spans="40:40" s="146" customFormat="1">
      <c r="AN132" s="145"/>
    </row>
    <row r="133" spans="40:40" s="146" customFormat="1">
      <c r="AN133" s="145"/>
    </row>
    <row r="134" spans="40:40" s="146" customFormat="1">
      <c r="AN134" s="145"/>
    </row>
    <row r="135" spans="40:40" s="146" customFormat="1">
      <c r="AN135" s="145"/>
    </row>
    <row r="136" spans="40:40" s="146" customFormat="1">
      <c r="AN136" s="145"/>
    </row>
    <row r="137" spans="40:40" s="146" customFormat="1">
      <c r="AN137" s="145"/>
    </row>
    <row r="138" spans="40:40" s="146" customFormat="1">
      <c r="AN138" s="145"/>
    </row>
    <row r="139" spans="40:40" s="146" customFormat="1">
      <c r="AN139" s="145"/>
    </row>
    <row r="140" spans="40:40" s="146" customFormat="1">
      <c r="AN140" s="145"/>
    </row>
    <row r="141" spans="40:40" s="146" customFormat="1">
      <c r="AN141" s="145"/>
    </row>
    <row r="142" spans="40:40" s="146" customFormat="1">
      <c r="AN142" s="145"/>
    </row>
    <row r="143" spans="40:40" s="146" customFormat="1">
      <c r="AN143" s="145"/>
    </row>
    <row r="144" spans="40:40" s="146" customFormat="1">
      <c r="AN144" s="145"/>
    </row>
    <row r="145" spans="40:40" s="146" customFormat="1">
      <c r="AN145" s="145"/>
    </row>
    <row r="146" spans="40:40" s="146" customFormat="1">
      <c r="AN146" s="145"/>
    </row>
    <row r="147" spans="40:40" s="146" customFormat="1">
      <c r="AN147" s="145"/>
    </row>
    <row r="148" spans="40:40" s="146" customFormat="1">
      <c r="AN148" s="145"/>
    </row>
    <row r="149" spans="40:40" s="146" customFormat="1">
      <c r="AN149" s="145"/>
    </row>
    <row r="150" spans="40:40" s="146" customFormat="1">
      <c r="AN150" s="145"/>
    </row>
    <row r="151" spans="40:40" s="146" customFormat="1">
      <c r="AN151" s="145"/>
    </row>
    <row r="152" spans="40:40" s="146" customFormat="1">
      <c r="AN152" s="145"/>
    </row>
    <row r="153" spans="40:40" s="146" customFormat="1">
      <c r="AN153" s="145"/>
    </row>
    <row r="154" spans="40:40" s="146" customFormat="1">
      <c r="AN154" s="145"/>
    </row>
    <row r="155" spans="40:40" s="146" customFormat="1">
      <c r="AN155" s="145"/>
    </row>
    <row r="156" spans="40:40" s="146" customFormat="1">
      <c r="AN156" s="145"/>
    </row>
    <row r="157" spans="40:40" s="146" customFormat="1">
      <c r="AN157" s="145"/>
    </row>
    <row r="158" spans="40:40" s="146" customFormat="1">
      <c r="AN158" s="145"/>
    </row>
    <row r="159" spans="40:40" s="146" customFormat="1">
      <c r="AN159" s="145"/>
    </row>
    <row r="160" spans="40:40" s="146" customFormat="1">
      <c r="AN160" s="145"/>
    </row>
    <row r="161" spans="40:40" s="146" customFormat="1">
      <c r="AN161" s="145"/>
    </row>
    <row r="162" spans="40:40" s="146" customFormat="1">
      <c r="AN162" s="145"/>
    </row>
    <row r="163" spans="40:40" s="146" customFormat="1">
      <c r="AN163" s="145"/>
    </row>
    <row r="164" spans="40:40" s="146" customFormat="1">
      <c r="AN164" s="145"/>
    </row>
    <row r="165" spans="40:40" s="146" customFormat="1">
      <c r="AN165" s="145"/>
    </row>
    <row r="166" spans="40:40" s="146" customFormat="1">
      <c r="AN166" s="145"/>
    </row>
    <row r="167" spans="40:40" s="146" customFormat="1">
      <c r="AN167" s="145"/>
    </row>
    <row r="168" spans="40:40" s="146" customFormat="1">
      <c r="AN168" s="145"/>
    </row>
    <row r="169" spans="40:40" s="146" customFormat="1">
      <c r="AN169" s="145"/>
    </row>
    <row r="170" spans="40:40" s="146" customFormat="1">
      <c r="AN170" s="145"/>
    </row>
    <row r="171" spans="40:40" s="146" customFormat="1">
      <c r="AN171" s="145"/>
    </row>
    <row r="172" spans="40:40" s="146" customFormat="1">
      <c r="AN172" s="145"/>
    </row>
    <row r="173" spans="40:40" s="146" customFormat="1">
      <c r="AN173" s="145"/>
    </row>
    <row r="174" spans="40:40" s="146" customFormat="1">
      <c r="AN174" s="145"/>
    </row>
    <row r="175" spans="40:40" s="146" customFormat="1">
      <c r="AN175" s="145"/>
    </row>
    <row r="176" spans="40:40" s="146" customFormat="1">
      <c r="AN176" s="145"/>
    </row>
    <row r="177" spans="40:40" s="146" customFormat="1">
      <c r="AN177" s="145"/>
    </row>
    <row r="178" spans="40:40" s="146" customFormat="1">
      <c r="AN178" s="145"/>
    </row>
    <row r="179" spans="40:40" s="146" customFormat="1">
      <c r="AN179" s="145"/>
    </row>
    <row r="180" spans="40:40" s="146" customFormat="1">
      <c r="AN180" s="145"/>
    </row>
    <row r="181" spans="40:40" s="146" customFormat="1">
      <c r="AN181" s="145"/>
    </row>
    <row r="182" spans="40:40" s="146" customFormat="1">
      <c r="AN182" s="145"/>
    </row>
    <row r="183" spans="40:40" s="146" customFormat="1">
      <c r="AN183" s="145"/>
    </row>
    <row r="184" spans="40:40" s="146" customFormat="1">
      <c r="AN184" s="145"/>
    </row>
    <row r="185" spans="40:40" s="146" customFormat="1">
      <c r="AN185" s="145"/>
    </row>
    <row r="186" spans="40:40" s="146" customFormat="1">
      <c r="AN186" s="145"/>
    </row>
    <row r="187" spans="40:40" s="146" customFormat="1">
      <c r="AN187" s="145"/>
    </row>
    <row r="188" spans="40:40" s="146" customFormat="1">
      <c r="AN188" s="145"/>
    </row>
    <row r="189" spans="40:40" s="146" customFormat="1">
      <c r="AN189" s="145"/>
    </row>
    <row r="190" spans="40:40" s="146" customFormat="1">
      <c r="AN190" s="145"/>
    </row>
    <row r="191" spans="40:40" s="146" customFormat="1">
      <c r="AN191" s="145"/>
    </row>
    <row r="192" spans="40:40" s="146" customFormat="1">
      <c r="AN192" s="145"/>
    </row>
    <row r="193" spans="40:40" s="146" customFormat="1">
      <c r="AN193" s="145"/>
    </row>
    <row r="194" spans="40:40" s="146" customFormat="1">
      <c r="AN194" s="145"/>
    </row>
    <row r="195" spans="40:40" s="146" customFormat="1">
      <c r="AN195" s="145"/>
    </row>
    <row r="196" spans="40:40" s="146" customFormat="1">
      <c r="AN196" s="145"/>
    </row>
    <row r="197" spans="40:40" s="146" customFormat="1">
      <c r="AN197" s="145"/>
    </row>
    <row r="198" spans="40:40" s="146" customFormat="1">
      <c r="AN198" s="145"/>
    </row>
    <row r="199" spans="40:40" s="146" customFormat="1">
      <c r="AN199" s="145"/>
    </row>
    <row r="200" spans="40:40" s="146" customFormat="1">
      <c r="AN200" s="145"/>
    </row>
    <row r="201" spans="40:40" s="146" customFormat="1">
      <c r="AN201" s="145"/>
    </row>
    <row r="202" spans="40:40" s="146" customFormat="1">
      <c r="AN202" s="145"/>
    </row>
    <row r="203" spans="40:40" s="146" customFormat="1">
      <c r="AN203" s="145"/>
    </row>
    <row r="204" spans="40:40" s="146" customFormat="1">
      <c r="AN204" s="145"/>
    </row>
    <row r="205" spans="40:40" s="146" customFormat="1">
      <c r="AN205" s="145"/>
    </row>
    <row r="206" spans="40:40" s="146" customFormat="1">
      <c r="AN206" s="145"/>
    </row>
    <row r="207" spans="40:40" s="146" customFormat="1">
      <c r="AN207" s="145"/>
    </row>
    <row r="208" spans="40:40" s="146" customFormat="1">
      <c r="AN208" s="145"/>
    </row>
    <row r="209" spans="40:40" s="146" customFormat="1">
      <c r="AN209" s="145"/>
    </row>
    <row r="210" spans="40:40" s="146" customFormat="1">
      <c r="AN210" s="145"/>
    </row>
    <row r="211" spans="40:40" s="146" customFormat="1">
      <c r="AN211" s="145"/>
    </row>
    <row r="212" spans="40:40" s="146" customFormat="1">
      <c r="AN212" s="145"/>
    </row>
    <row r="213" spans="40:40" s="146" customFormat="1">
      <c r="AN213" s="145"/>
    </row>
    <row r="214" spans="40:40" s="146" customFormat="1">
      <c r="AN214" s="145"/>
    </row>
    <row r="215" spans="40:40" s="146" customFormat="1">
      <c r="AN215" s="145"/>
    </row>
    <row r="216" spans="40:40" s="146" customFormat="1">
      <c r="AN216" s="145"/>
    </row>
    <row r="217" spans="40:40" s="146" customFormat="1">
      <c r="AN217" s="145"/>
    </row>
    <row r="218" spans="40:40" s="146" customFormat="1">
      <c r="AN218" s="145"/>
    </row>
    <row r="219" spans="40:40" s="146" customFormat="1">
      <c r="AN219" s="145"/>
    </row>
    <row r="220" spans="40:40" s="146" customFormat="1">
      <c r="AN220" s="145"/>
    </row>
    <row r="221" spans="40:40" s="146" customFormat="1">
      <c r="AN221" s="145"/>
    </row>
    <row r="222" spans="40:40" s="146" customFormat="1">
      <c r="AN222" s="145"/>
    </row>
    <row r="223" spans="40:40" s="146" customFormat="1">
      <c r="AN223" s="145"/>
    </row>
    <row r="224" spans="40:40" s="146" customFormat="1">
      <c r="AN224" s="145"/>
    </row>
    <row r="225" spans="40:40" s="146" customFormat="1">
      <c r="AN225" s="145"/>
    </row>
    <row r="226" spans="40:40" s="146" customFormat="1">
      <c r="AN226" s="145"/>
    </row>
    <row r="227" spans="40:40" s="146" customFormat="1">
      <c r="AN227" s="145"/>
    </row>
    <row r="228" spans="40:40" s="146" customFormat="1">
      <c r="AN228" s="145"/>
    </row>
    <row r="229" spans="40:40" s="146" customFormat="1">
      <c r="AN229" s="145"/>
    </row>
    <row r="230" spans="40:40" s="146" customFormat="1">
      <c r="AN230" s="145"/>
    </row>
    <row r="231" spans="40:40" s="146" customFormat="1">
      <c r="AN231" s="145"/>
    </row>
    <row r="232" spans="40:40" s="146" customFormat="1">
      <c r="AN232" s="145"/>
    </row>
    <row r="233" spans="40:40" s="146" customFormat="1">
      <c r="AN233" s="145"/>
    </row>
    <row r="234" spans="40:40" s="146" customFormat="1">
      <c r="AN234" s="145"/>
    </row>
    <row r="235" spans="40:40" s="146" customFormat="1">
      <c r="AN235" s="145"/>
    </row>
    <row r="236" spans="40:40" s="146" customFormat="1">
      <c r="AN236" s="145"/>
    </row>
    <row r="237" spans="40:40" s="146" customFormat="1">
      <c r="AN237" s="145"/>
    </row>
    <row r="238" spans="40:40" s="146" customFormat="1">
      <c r="AN238" s="145"/>
    </row>
    <row r="239" spans="40:40" s="146" customFormat="1">
      <c r="AN239" s="145"/>
    </row>
    <row r="240" spans="40:40" s="146" customFormat="1">
      <c r="AN240" s="145"/>
    </row>
    <row r="241" spans="40:40" s="146" customFormat="1">
      <c r="AN241" s="145"/>
    </row>
    <row r="242" spans="40:40" s="146" customFormat="1">
      <c r="AN242" s="145"/>
    </row>
    <row r="243" spans="40:40" s="146" customFormat="1">
      <c r="AN243" s="145"/>
    </row>
    <row r="244" spans="40:40" s="146" customFormat="1">
      <c r="AN244" s="145"/>
    </row>
    <row r="245" spans="40:40" s="146" customFormat="1">
      <c r="AN245" s="145"/>
    </row>
    <row r="246" spans="40:40" s="146" customFormat="1">
      <c r="AN246" s="145"/>
    </row>
    <row r="247" spans="40:40" s="146" customFormat="1">
      <c r="AN247" s="145"/>
    </row>
    <row r="248" spans="40:40" s="146" customFormat="1">
      <c r="AN248" s="145"/>
    </row>
    <row r="249" spans="40:40" s="146" customFormat="1">
      <c r="AN249" s="145"/>
    </row>
    <row r="250" spans="40:40" s="146" customFormat="1">
      <c r="AN250" s="145"/>
    </row>
    <row r="251" spans="40:40" s="146" customFormat="1">
      <c r="AN251" s="145"/>
    </row>
    <row r="252" spans="40:40" s="146" customFormat="1">
      <c r="AN252" s="145"/>
    </row>
    <row r="253" spans="40:40" s="146" customFormat="1">
      <c r="AN253" s="145"/>
    </row>
    <row r="254" spans="40:40" s="146" customFormat="1">
      <c r="AN254" s="145"/>
    </row>
    <row r="255" spans="40:40" s="146" customFormat="1">
      <c r="AN255" s="145"/>
    </row>
    <row r="256" spans="40:40" s="146" customFormat="1">
      <c r="AN256" s="145"/>
    </row>
    <row r="257" spans="40:40" s="146" customFormat="1">
      <c r="AN257" s="145"/>
    </row>
    <row r="258" spans="40:40" s="146" customFormat="1">
      <c r="AN258" s="145"/>
    </row>
    <row r="259" spans="40:40" s="146" customFormat="1">
      <c r="AN259" s="145"/>
    </row>
    <row r="260" spans="40:40" s="146" customFormat="1">
      <c r="AN260" s="145"/>
    </row>
    <row r="261" spans="40:40" s="146" customFormat="1">
      <c r="AN261" s="145"/>
    </row>
    <row r="262" spans="40:40" s="146" customFormat="1">
      <c r="AN262" s="145"/>
    </row>
    <row r="263" spans="40:40" s="146" customFormat="1">
      <c r="AN263" s="145"/>
    </row>
    <row r="264" spans="40:40" s="146" customFormat="1">
      <c r="AN264" s="145"/>
    </row>
    <row r="265" spans="40:40" s="146" customFormat="1">
      <c r="AN265" s="145"/>
    </row>
    <row r="266" spans="40:40" s="146" customFormat="1">
      <c r="AN266" s="145"/>
    </row>
    <row r="267" spans="40:40" s="146" customFormat="1">
      <c r="AN267" s="145"/>
    </row>
    <row r="268" spans="40:40" s="146" customFormat="1">
      <c r="AN268" s="145"/>
    </row>
    <row r="269" spans="40:40" s="146" customFormat="1">
      <c r="AN269" s="145"/>
    </row>
    <row r="270" spans="40:40" s="146" customFormat="1">
      <c r="AN270" s="145"/>
    </row>
    <row r="271" spans="40:40" s="146" customFormat="1">
      <c r="AN271" s="145"/>
    </row>
    <row r="272" spans="40:40" s="146" customFormat="1">
      <c r="AN272" s="145"/>
    </row>
    <row r="273" spans="40:40" s="146" customFormat="1">
      <c r="AN273" s="145"/>
    </row>
    <row r="274" spans="40:40" s="146" customFormat="1">
      <c r="AN274" s="145"/>
    </row>
    <row r="275" spans="40:40" s="146" customFormat="1">
      <c r="AN275" s="145"/>
    </row>
    <row r="276" spans="40:40" s="146" customFormat="1">
      <c r="AN276" s="145"/>
    </row>
    <row r="277" spans="40:40" s="146" customFormat="1">
      <c r="AN277" s="145"/>
    </row>
    <row r="278" spans="40:40" s="146" customFormat="1">
      <c r="AN278" s="145"/>
    </row>
    <row r="279" spans="40:40" s="146" customFormat="1">
      <c r="AN279" s="145"/>
    </row>
    <row r="280" spans="40:40" s="146" customFormat="1">
      <c r="AN280" s="145"/>
    </row>
    <row r="281" spans="40:40" s="146" customFormat="1">
      <c r="AN281" s="145"/>
    </row>
    <row r="282" spans="40:40" s="146" customFormat="1">
      <c r="AN282" s="145"/>
    </row>
    <row r="283" spans="40:40" s="146" customFormat="1">
      <c r="AN283" s="145"/>
    </row>
    <row r="284" spans="40:40" s="146" customFormat="1">
      <c r="AN284" s="145"/>
    </row>
    <row r="285" spans="40:40" s="146" customFormat="1">
      <c r="AN285" s="145"/>
    </row>
    <row r="286" spans="40:40" s="146" customFormat="1">
      <c r="AN286" s="145"/>
    </row>
    <row r="287" spans="40:40" s="146" customFormat="1">
      <c r="AN287" s="145"/>
    </row>
    <row r="288" spans="40:40" s="146" customFormat="1">
      <c r="AN288" s="145"/>
    </row>
    <row r="289" spans="40:40" s="146" customFormat="1">
      <c r="AN289" s="145"/>
    </row>
    <row r="290" spans="40:40" s="146" customFormat="1">
      <c r="AN290" s="145"/>
    </row>
    <row r="291" spans="40:40" s="146" customFormat="1">
      <c r="AN291" s="145"/>
    </row>
    <row r="292" spans="40:40" s="146" customFormat="1">
      <c r="AN292" s="145"/>
    </row>
    <row r="293" spans="40:40" s="146" customFormat="1">
      <c r="AN293" s="145"/>
    </row>
    <row r="294" spans="40:40" s="146" customFormat="1">
      <c r="AN294" s="145"/>
    </row>
    <row r="295" spans="40:40" s="146" customFormat="1">
      <c r="AN295" s="145"/>
    </row>
    <row r="296" spans="40:40" s="146" customFormat="1">
      <c r="AN296" s="145"/>
    </row>
    <row r="297" spans="40:40" s="146" customFormat="1">
      <c r="AN297" s="145"/>
    </row>
    <row r="298" spans="40:40" s="146" customFormat="1">
      <c r="AN298" s="145"/>
    </row>
    <row r="299" spans="40:40" s="146" customFormat="1">
      <c r="AN299" s="145"/>
    </row>
    <row r="300" spans="40:40" s="146" customFormat="1">
      <c r="AN300" s="145"/>
    </row>
    <row r="301" spans="40:40" s="146" customFormat="1">
      <c r="AN301" s="145"/>
    </row>
    <row r="302" spans="40:40" s="146" customFormat="1">
      <c r="AN302" s="145"/>
    </row>
    <row r="303" spans="40:40" s="146" customFormat="1">
      <c r="AN303" s="145"/>
    </row>
    <row r="304" spans="40:40" s="146" customFormat="1">
      <c r="AN304" s="145"/>
    </row>
    <row r="305" spans="40:40" s="146" customFormat="1">
      <c r="AN305" s="145"/>
    </row>
    <row r="306" spans="40:40" s="146" customFormat="1">
      <c r="AN306" s="145"/>
    </row>
    <row r="307" spans="40:40" s="146" customFormat="1">
      <c r="AN307" s="145"/>
    </row>
    <row r="308" spans="40:40" s="146" customFormat="1">
      <c r="AN308" s="145"/>
    </row>
    <row r="309" spans="40:40" s="146" customFormat="1">
      <c r="AN309" s="145"/>
    </row>
    <row r="310" spans="40:40" s="146" customFormat="1">
      <c r="AN310" s="145"/>
    </row>
    <row r="311" spans="40:40" s="146" customFormat="1">
      <c r="AN311" s="145"/>
    </row>
    <row r="312" spans="40:40" s="146" customFormat="1">
      <c r="AN312" s="145"/>
    </row>
    <row r="313" spans="40:40" s="146" customFormat="1">
      <c r="AN313" s="145"/>
    </row>
    <row r="314" spans="40:40" s="146" customFormat="1">
      <c r="AN314" s="145"/>
    </row>
    <row r="315" spans="40:40" s="146" customFormat="1">
      <c r="AN315" s="145"/>
    </row>
    <row r="316" spans="40:40" s="146" customFormat="1">
      <c r="AN316" s="145"/>
    </row>
    <row r="317" spans="40:40" s="146" customFormat="1">
      <c r="AN317" s="145"/>
    </row>
    <row r="318" spans="40:40" s="146" customFormat="1">
      <c r="AN318" s="145"/>
    </row>
    <row r="319" spans="40:40" s="146" customFormat="1">
      <c r="AN319" s="145"/>
    </row>
    <row r="320" spans="40:40" s="146" customFormat="1">
      <c r="AN320" s="145"/>
    </row>
    <row r="321" spans="40:40" s="146" customFormat="1">
      <c r="AN321" s="145"/>
    </row>
    <row r="322" spans="40:40" s="146" customFormat="1">
      <c r="AN322" s="145"/>
    </row>
    <row r="323" spans="40:40" s="146" customFormat="1">
      <c r="AN323" s="145"/>
    </row>
    <row r="324" spans="40:40" s="146" customFormat="1">
      <c r="AN324" s="145"/>
    </row>
    <row r="325" spans="40:40" s="146" customFormat="1">
      <c r="AN325" s="145"/>
    </row>
    <row r="326" spans="40:40" s="146" customFormat="1">
      <c r="AN326" s="145"/>
    </row>
    <row r="327" spans="40:40" s="146" customFormat="1">
      <c r="AN327" s="145"/>
    </row>
    <row r="328" spans="40:40" s="146" customFormat="1">
      <c r="AN328" s="145"/>
    </row>
    <row r="329" spans="40:40" s="146" customFormat="1">
      <c r="AN329" s="145"/>
    </row>
    <row r="330" spans="40:40" s="146" customFormat="1">
      <c r="AN330" s="145"/>
    </row>
    <row r="331" spans="40:40" s="146" customFormat="1">
      <c r="AN331" s="145"/>
    </row>
    <row r="332" spans="40:40" s="146" customFormat="1">
      <c r="AN332" s="145"/>
    </row>
    <row r="333" spans="40:40" s="146" customFormat="1">
      <c r="AN333" s="145"/>
    </row>
    <row r="334" spans="40:40" s="146" customFormat="1">
      <c r="AN334" s="145"/>
    </row>
    <row r="335" spans="40:40" s="146" customFormat="1">
      <c r="AN335" s="145"/>
    </row>
    <row r="336" spans="40:40" s="146" customFormat="1">
      <c r="AN336" s="145"/>
    </row>
    <row r="337" spans="40:40" s="146" customFormat="1">
      <c r="AN337" s="145"/>
    </row>
    <row r="338" spans="40:40" s="146" customFormat="1">
      <c r="AN338" s="145"/>
    </row>
    <row r="339" spans="40:40" s="146" customFormat="1">
      <c r="AN339" s="145"/>
    </row>
    <row r="340" spans="40:40" s="146" customFormat="1">
      <c r="AN340" s="145"/>
    </row>
    <row r="341" spans="40:40" s="146" customFormat="1">
      <c r="AN341" s="145"/>
    </row>
    <row r="342" spans="40:40" s="146" customFormat="1">
      <c r="AN342" s="145"/>
    </row>
    <row r="343" spans="40:40" s="146" customFormat="1">
      <c r="AN343" s="145"/>
    </row>
    <row r="344" spans="40:40" s="146" customFormat="1">
      <c r="AN344" s="145"/>
    </row>
    <row r="345" spans="40:40" s="146" customFormat="1">
      <c r="AN345" s="145"/>
    </row>
    <row r="346" spans="40:40" s="146" customFormat="1">
      <c r="AN346" s="145"/>
    </row>
    <row r="347" spans="40:40" s="146" customFormat="1">
      <c r="AN347" s="145"/>
    </row>
    <row r="348" spans="40:40" s="146" customFormat="1">
      <c r="AN348" s="145"/>
    </row>
    <row r="349" spans="40:40" s="146" customFormat="1">
      <c r="AN349" s="145"/>
    </row>
    <row r="350" spans="40:40" s="146" customFormat="1">
      <c r="AN350" s="145"/>
    </row>
    <row r="351" spans="40:40" s="146" customFormat="1">
      <c r="AN351" s="145"/>
    </row>
    <row r="352" spans="40:40" s="146" customFormat="1">
      <c r="AN352" s="145"/>
    </row>
    <row r="353" spans="40:40" s="146" customFormat="1">
      <c r="AN353" s="145"/>
    </row>
    <row r="354" spans="40:40" s="146" customFormat="1">
      <c r="AN354" s="145"/>
    </row>
    <row r="355" spans="40:40" s="146" customFormat="1">
      <c r="AN355" s="145"/>
    </row>
    <row r="356" spans="40:40" s="146" customFormat="1">
      <c r="AN356" s="145"/>
    </row>
    <row r="357" spans="40:40" s="146" customFormat="1">
      <c r="AN357" s="145"/>
    </row>
    <row r="358" spans="40:40" s="146" customFormat="1">
      <c r="AN358" s="145"/>
    </row>
    <row r="359" spans="40:40" s="146" customFormat="1">
      <c r="AN359" s="145"/>
    </row>
    <row r="360" spans="40:40" s="146" customFormat="1">
      <c r="AN360" s="145"/>
    </row>
    <row r="361" spans="40:40" s="146" customFormat="1">
      <c r="AN361" s="145"/>
    </row>
    <row r="362" spans="40:40" s="146" customFormat="1">
      <c r="AN362" s="145"/>
    </row>
    <row r="363" spans="40:40" s="146" customFormat="1">
      <c r="AN363" s="145"/>
    </row>
    <row r="364" spans="40:40" s="146" customFormat="1">
      <c r="AN364" s="145"/>
    </row>
    <row r="365" spans="40:40" s="146" customFormat="1">
      <c r="AN365" s="145"/>
    </row>
    <row r="366" spans="40:40" s="146" customFormat="1">
      <c r="AN366" s="145"/>
    </row>
    <row r="367" spans="40:40" s="146" customFormat="1">
      <c r="AN367" s="145"/>
    </row>
    <row r="368" spans="40:40" s="146" customFormat="1">
      <c r="AN368" s="145"/>
    </row>
    <row r="369" spans="40:40" s="146" customFormat="1">
      <c r="AN369" s="145"/>
    </row>
    <row r="370" spans="40:40" s="146" customFormat="1">
      <c r="AN370" s="145"/>
    </row>
    <row r="371" spans="40:40" s="146" customFormat="1">
      <c r="AN371" s="145"/>
    </row>
    <row r="372" spans="40:40" s="146" customFormat="1">
      <c r="AN372" s="145"/>
    </row>
    <row r="373" spans="40:40" s="146" customFormat="1">
      <c r="AN373" s="145"/>
    </row>
    <row r="374" spans="40:40" s="146" customFormat="1">
      <c r="AN374" s="145"/>
    </row>
    <row r="375" spans="40:40" s="146" customFormat="1">
      <c r="AN375" s="145"/>
    </row>
    <row r="376" spans="40:40" s="146" customFormat="1">
      <c r="AN376" s="145"/>
    </row>
    <row r="377" spans="40:40" s="146" customFormat="1">
      <c r="AN377" s="145"/>
    </row>
    <row r="378" spans="40:40" s="146" customFormat="1">
      <c r="AN378" s="145"/>
    </row>
    <row r="379" spans="40:40" s="146" customFormat="1">
      <c r="AN379" s="145"/>
    </row>
    <row r="380" spans="40:40" s="146" customFormat="1">
      <c r="AN380" s="145"/>
    </row>
    <row r="381" spans="40:40" s="146" customFormat="1">
      <c r="AN381" s="145"/>
    </row>
    <row r="382" spans="40:40" s="146" customFormat="1">
      <c r="AN382" s="145"/>
    </row>
    <row r="383" spans="40:40" s="146" customFormat="1">
      <c r="AN383" s="145"/>
    </row>
    <row r="384" spans="40:40" s="146" customFormat="1">
      <c r="AN384" s="145"/>
    </row>
    <row r="385" spans="40:40" s="146" customFormat="1">
      <c r="AN385" s="145"/>
    </row>
    <row r="386" spans="40:40" s="146" customFormat="1">
      <c r="AN386" s="145"/>
    </row>
    <row r="387" spans="40:40" s="146" customFormat="1">
      <c r="AN387" s="145"/>
    </row>
    <row r="388" spans="40:40" s="146" customFormat="1">
      <c r="AN388" s="145"/>
    </row>
    <row r="389" spans="40:40" s="146" customFormat="1">
      <c r="AN389" s="145"/>
    </row>
    <row r="390" spans="40:40" s="146" customFormat="1">
      <c r="AN390" s="145"/>
    </row>
    <row r="391" spans="40:40" s="146" customFormat="1">
      <c r="AN391" s="145"/>
    </row>
    <row r="392" spans="40:40" s="146" customFormat="1">
      <c r="AN392" s="145"/>
    </row>
    <row r="393" spans="40:40" s="146" customFormat="1">
      <c r="AN393" s="145"/>
    </row>
    <row r="394" spans="40:40" s="146" customFormat="1">
      <c r="AN394" s="145"/>
    </row>
    <row r="395" spans="40:40" s="146" customFormat="1">
      <c r="AN395" s="145"/>
    </row>
    <row r="396" spans="40:40" s="146" customFormat="1">
      <c r="AN396" s="145"/>
    </row>
    <row r="397" spans="40:40" s="146" customFormat="1">
      <c r="AN397" s="145"/>
    </row>
    <row r="398" spans="40:40" s="146" customFormat="1">
      <c r="AN398" s="145"/>
    </row>
    <row r="399" spans="40:40" s="146" customFormat="1">
      <c r="AN399" s="145"/>
    </row>
    <row r="400" spans="40:40" s="146" customFormat="1">
      <c r="AN400" s="145"/>
    </row>
    <row r="401" spans="40:40" s="146" customFormat="1">
      <c r="AN401" s="145"/>
    </row>
    <row r="402" spans="40:40" s="146" customFormat="1">
      <c r="AN402" s="145"/>
    </row>
    <row r="403" spans="40:40" s="146" customFormat="1">
      <c r="AN403" s="145"/>
    </row>
    <row r="404" spans="40:40" s="146" customFormat="1">
      <c r="AN404" s="145"/>
    </row>
    <row r="405" spans="40:40" s="146" customFormat="1">
      <c r="AN405" s="145"/>
    </row>
    <row r="406" spans="40:40" s="146" customFormat="1">
      <c r="AN406" s="145"/>
    </row>
    <row r="407" spans="40:40" s="146" customFormat="1">
      <c r="AN407" s="145"/>
    </row>
    <row r="408" spans="40:40" s="146" customFormat="1">
      <c r="AN408" s="145"/>
    </row>
    <row r="409" spans="40:40" s="146" customFormat="1">
      <c r="AN409" s="145"/>
    </row>
    <row r="410" spans="40:40" s="146" customFormat="1">
      <c r="AN410" s="145"/>
    </row>
    <row r="411" spans="40:40" s="146" customFormat="1">
      <c r="AN411" s="145"/>
    </row>
    <row r="412" spans="40:40" s="146" customFormat="1">
      <c r="AN412" s="145"/>
    </row>
    <row r="413" spans="40:40" s="146" customFormat="1">
      <c r="AN413" s="145"/>
    </row>
    <row r="414" spans="40:40" s="146" customFormat="1">
      <c r="AN414" s="145"/>
    </row>
    <row r="415" spans="40:40" s="146" customFormat="1">
      <c r="AN415" s="145"/>
    </row>
    <row r="416" spans="40:40" s="146" customFormat="1">
      <c r="AN416" s="145"/>
    </row>
    <row r="417" spans="40:40" s="146" customFormat="1">
      <c r="AN417" s="145"/>
    </row>
    <row r="418" spans="40:40" s="146" customFormat="1">
      <c r="AN418" s="145"/>
    </row>
    <row r="419" spans="40:40" s="146" customFormat="1">
      <c r="AN419" s="145"/>
    </row>
    <row r="420" spans="40:40" s="146" customFormat="1">
      <c r="AN420" s="145"/>
    </row>
    <row r="421" spans="40:40" s="146" customFormat="1">
      <c r="AN421" s="145"/>
    </row>
    <row r="422" spans="40:40" s="146" customFormat="1">
      <c r="AN422" s="145"/>
    </row>
    <row r="423" spans="40:40" s="146" customFormat="1">
      <c r="AN423" s="145"/>
    </row>
    <row r="424" spans="40:40" s="146" customFormat="1">
      <c r="AN424" s="145"/>
    </row>
    <row r="425" spans="40:40" s="146" customFormat="1">
      <c r="AN425" s="145"/>
    </row>
    <row r="426" spans="40:40" s="146" customFormat="1">
      <c r="AN426" s="145"/>
    </row>
    <row r="427" spans="40:40" s="146" customFormat="1">
      <c r="AN427" s="145"/>
    </row>
    <row r="428" spans="40:40" s="146" customFormat="1">
      <c r="AN428" s="145"/>
    </row>
    <row r="429" spans="40:40" s="146" customFormat="1">
      <c r="AN429" s="145"/>
    </row>
    <row r="430" spans="40:40" s="146" customFormat="1">
      <c r="AN430" s="145"/>
    </row>
    <row r="431" spans="40:40" s="146" customFormat="1">
      <c r="AN431" s="145"/>
    </row>
    <row r="432" spans="40:40" s="146" customFormat="1">
      <c r="AN432" s="145"/>
    </row>
    <row r="433" spans="40:40" s="146" customFormat="1">
      <c r="AN433" s="145"/>
    </row>
    <row r="434" spans="40:40" s="146" customFormat="1">
      <c r="AN434" s="145"/>
    </row>
    <row r="435" spans="40:40" s="146" customFormat="1">
      <c r="AN435" s="145"/>
    </row>
    <row r="436" spans="40:40" s="146" customFormat="1">
      <c r="AN436" s="145"/>
    </row>
    <row r="437" spans="40:40" s="146" customFormat="1">
      <c r="AN437" s="145"/>
    </row>
    <row r="438" spans="40:40" s="146" customFormat="1">
      <c r="AN438" s="145"/>
    </row>
    <row r="439" spans="40:40" s="146" customFormat="1">
      <c r="AN439" s="145"/>
    </row>
    <row r="440" spans="40:40" s="146" customFormat="1">
      <c r="AN440" s="145"/>
    </row>
    <row r="441" spans="40:40" s="146" customFormat="1">
      <c r="AN441" s="145"/>
    </row>
    <row r="442" spans="40:40" s="146" customFormat="1">
      <c r="AN442" s="145"/>
    </row>
    <row r="443" spans="40:40" s="146" customFormat="1">
      <c r="AN443" s="145"/>
    </row>
    <row r="444" spans="40:40" s="146" customFormat="1">
      <c r="AN444" s="145"/>
    </row>
    <row r="445" spans="40:40" s="146" customFormat="1">
      <c r="AN445" s="145"/>
    </row>
    <row r="446" spans="40:40" s="146" customFormat="1">
      <c r="AN446" s="145"/>
    </row>
    <row r="447" spans="40:40" s="146" customFormat="1">
      <c r="AN447" s="145"/>
    </row>
    <row r="448" spans="40:40" s="146" customFormat="1">
      <c r="AN448" s="145"/>
    </row>
    <row r="449" spans="40:40" s="146" customFormat="1">
      <c r="AN449" s="145"/>
    </row>
    <row r="450" spans="40:40" s="146" customFormat="1">
      <c r="AN450" s="145"/>
    </row>
    <row r="451" spans="40:40" s="146" customFormat="1">
      <c r="AN451" s="145"/>
    </row>
    <row r="452" spans="40:40" s="146" customFormat="1">
      <c r="AN452" s="145"/>
    </row>
    <row r="453" spans="40:40" s="146" customFormat="1">
      <c r="AN453" s="145"/>
    </row>
    <row r="454" spans="40:40" s="146" customFormat="1">
      <c r="AN454" s="145"/>
    </row>
    <row r="455" spans="40:40" s="146" customFormat="1">
      <c r="AN455" s="145"/>
    </row>
    <row r="456" spans="40:40" s="146" customFormat="1">
      <c r="AN456" s="145"/>
    </row>
    <row r="457" spans="40:40" s="146" customFormat="1">
      <c r="AN457" s="145"/>
    </row>
    <row r="458" spans="40:40" s="146" customFormat="1">
      <c r="AN458" s="145"/>
    </row>
    <row r="459" spans="40:40" s="146" customFormat="1">
      <c r="AN459" s="145"/>
    </row>
    <row r="460" spans="40:40" s="146" customFormat="1">
      <c r="AN460" s="145"/>
    </row>
    <row r="461" spans="40:40" s="146" customFormat="1">
      <c r="AN461" s="145"/>
    </row>
    <row r="462" spans="40:40" s="146" customFormat="1">
      <c r="AN462" s="145"/>
    </row>
  </sheetData>
  <protectedRanges>
    <protectedRange sqref="AA15:AM15" name="Rozstęp1_7_1"/>
  </protectedRanges>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1" fitToHeight="0" orientation="portrait"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55"/>
  <sheetViews>
    <sheetView view="pageBreakPreview" zoomScaleNormal="100" zoomScaleSheetLayoutView="100" workbookViewId="0">
      <pane xSplit="1" topLeftCell="B1" activePane="topRight" state="frozen"/>
      <selection pane="topRight" activeCell="AN34" sqref="AN34"/>
    </sheetView>
  </sheetViews>
  <sheetFormatPr defaultColWidth="44.5703125" defaultRowHeight="15" outlineLevelRow="1" outlineLevelCol="1"/>
  <cols>
    <col min="1" max="2" width="44.5703125" style="276"/>
    <col min="3" max="3" width="3.28515625" style="276" hidden="1" customWidth="1"/>
    <col min="4" max="35" width="16.7109375" style="276" hidden="1" customWidth="1" outlineLevel="1"/>
    <col min="36" max="36" width="16.7109375" style="276" customWidth="1" collapsed="1"/>
    <col min="37" max="42" width="16.7109375" style="276" customWidth="1"/>
    <col min="43" max="43" width="16.7109375" style="277" customWidth="1"/>
    <col min="44" max="81" width="44.5703125" style="1059"/>
    <col min="82" max="16384" width="44.5703125" style="276"/>
  </cols>
  <sheetData>
    <row r="1" spans="1:81" s="279" customFormat="1" ht="20.100000000000001" customHeight="1">
      <c r="A1" s="1069" t="s">
        <v>679</v>
      </c>
      <c r="B1" s="1069" t="s">
        <v>680</v>
      </c>
      <c r="C1" s="1069"/>
      <c r="D1" s="1070"/>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c r="AP1" s="1071"/>
      <c r="AQ1" s="1138" t="s">
        <v>800</v>
      </c>
      <c r="AR1" s="1058"/>
      <c r="AS1" s="1058"/>
      <c r="AT1" s="1058"/>
      <c r="AU1" s="1058"/>
      <c r="AV1" s="1058"/>
      <c r="AW1" s="1058"/>
      <c r="AX1" s="1058"/>
      <c r="AY1" s="1058"/>
      <c r="AZ1" s="1058"/>
      <c r="BA1" s="1058"/>
      <c r="BB1" s="1058"/>
      <c r="BC1" s="1058"/>
      <c r="BD1" s="1058"/>
      <c r="BE1" s="1058"/>
      <c r="BF1" s="1058"/>
      <c r="BG1" s="1058"/>
      <c r="BH1" s="1058"/>
      <c r="BI1" s="1058"/>
      <c r="BJ1" s="1058"/>
      <c r="BK1" s="1058"/>
      <c r="BL1" s="1058"/>
      <c r="BM1" s="1058"/>
      <c r="BN1" s="1058"/>
      <c r="BO1" s="1058"/>
      <c r="BP1" s="1058"/>
      <c r="BQ1" s="1058"/>
      <c r="BR1" s="1058"/>
      <c r="BS1" s="1058"/>
      <c r="BT1" s="1058"/>
      <c r="BU1" s="1058"/>
      <c r="BV1" s="1058"/>
      <c r="BW1" s="1058"/>
      <c r="BX1" s="1058"/>
      <c r="BY1" s="1058"/>
      <c r="BZ1" s="1058"/>
      <c r="CA1" s="1058"/>
      <c r="CB1" s="1058"/>
      <c r="CC1" s="1058"/>
    </row>
    <row r="2" spans="1:81" s="279" customFormat="1" ht="20.100000000000001" customHeight="1" thickBot="1">
      <c r="A2" s="1139"/>
      <c r="B2" s="1069"/>
      <c r="C2" s="1069"/>
      <c r="D2" s="1070"/>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1"/>
      <c r="AK2" s="1071"/>
      <c r="AL2" s="1071"/>
      <c r="AM2" s="1071"/>
      <c r="AN2" s="1071"/>
      <c r="AO2" s="1071"/>
      <c r="AP2" s="1071"/>
      <c r="AQ2" s="1137" t="s">
        <v>801</v>
      </c>
      <c r="AR2" s="1058"/>
      <c r="AS2" s="1058"/>
      <c r="AT2" s="1058"/>
      <c r="AU2" s="1058"/>
      <c r="AV2" s="1058"/>
      <c r="AW2" s="1058"/>
      <c r="AX2" s="1058"/>
      <c r="AY2" s="1058"/>
      <c r="AZ2" s="1058"/>
      <c r="BA2" s="1058"/>
      <c r="BB2" s="1058"/>
      <c r="BC2" s="1058"/>
      <c r="BD2" s="1058"/>
      <c r="BE2" s="1058"/>
      <c r="BF2" s="1058"/>
      <c r="BG2" s="1058"/>
      <c r="BH2" s="1058"/>
      <c r="BI2" s="1058"/>
      <c r="BJ2" s="1058"/>
      <c r="BK2" s="1058"/>
      <c r="BL2" s="1058"/>
      <c r="BM2" s="1058"/>
      <c r="BN2" s="1058"/>
      <c r="BO2" s="1058"/>
      <c r="BP2" s="1058"/>
      <c r="BQ2" s="1058"/>
      <c r="BR2" s="1058"/>
      <c r="BS2" s="1058"/>
      <c r="BT2" s="1058"/>
      <c r="BU2" s="1058"/>
      <c r="BV2" s="1058"/>
      <c r="BW2" s="1058"/>
      <c r="BX2" s="1058"/>
      <c r="BY2" s="1058"/>
      <c r="BZ2" s="1058"/>
      <c r="CA2" s="1058"/>
      <c r="CB2" s="1058"/>
      <c r="CC2" s="1058"/>
    </row>
    <row r="3" spans="1:81" ht="19.5" customHeight="1" thickBot="1">
      <c r="A3" s="1134" t="s">
        <v>365</v>
      </c>
      <c r="B3" s="1135" t="s">
        <v>182</v>
      </c>
      <c r="C3" s="1135"/>
      <c r="D3" s="794" t="s">
        <v>304</v>
      </c>
      <c r="E3" s="794" t="s">
        <v>303</v>
      </c>
      <c r="F3" s="794" t="s">
        <v>302</v>
      </c>
      <c r="G3" s="794" t="s">
        <v>301</v>
      </c>
      <c r="H3" s="794" t="s">
        <v>297</v>
      </c>
      <c r="I3" s="794" t="s">
        <v>298</v>
      </c>
      <c r="J3" s="794" t="s">
        <v>299</v>
      </c>
      <c r="K3" s="794" t="s">
        <v>300</v>
      </c>
      <c r="L3" s="794" t="s">
        <v>296</v>
      </c>
      <c r="M3" s="794" t="s">
        <v>295</v>
      </c>
      <c r="N3" s="794" t="s">
        <v>294</v>
      </c>
      <c r="O3" s="794" t="s">
        <v>293</v>
      </c>
      <c r="P3" s="794" t="s">
        <v>292</v>
      </c>
      <c r="Q3" s="794" t="s">
        <v>291</v>
      </c>
      <c r="R3" s="794" t="s">
        <v>290</v>
      </c>
      <c r="S3" s="794" t="s">
        <v>289</v>
      </c>
      <c r="T3" s="794" t="s">
        <v>288</v>
      </c>
      <c r="U3" s="794" t="s">
        <v>287</v>
      </c>
      <c r="V3" s="794" t="s">
        <v>286</v>
      </c>
      <c r="W3" s="794" t="s">
        <v>285</v>
      </c>
      <c r="X3" s="794" t="s">
        <v>281</v>
      </c>
      <c r="Y3" s="794" t="s">
        <v>282</v>
      </c>
      <c r="Z3" s="794" t="s">
        <v>283</v>
      </c>
      <c r="AA3" s="794" t="s">
        <v>284</v>
      </c>
      <c r="AB3" s="794" t="s">
        <v>277</v>
      </c>
      <c r="AC3" s="794" t="s">
        <v>278</v>
      </c>
      <c r="AD3" s="794" t="s">
        <v>279</v>
      </c>
      <c r="AE3" s="794" t="s">
        <v>280</v>
      </c>
      <c r="AF3" s="794" t="s">
        <v>274</v>
      </c>
      <c r="AG3" s="794" t="s">
        <v>275</v>
      </c>
      <c r="AH3" s="794" t="s">
        <v>276</v>
      </c>
      <c r="AI3" s="794" t="s">
        <v>256</v>
      </c>
      <c r="AJ3" s="794" t="s">
        <v>273</v>
      </c>
      <c r="AK3" s="794" t="s">
        <v>272</v>
      </c>
      <c r="AL3" s="794" t="s">
        <v>255</v>
      </c>
      <c r="AM3" s="794" t="s">
        <v>271</v>
      </c>
      <c r="AN3" s="794" t="s">
        <v>270</v>
      </c>
      <c r="AO3" s="794" t="s">
        <v>269</v>
      </c>
      <c r="AP3" s="794" t="s">
        <v>268</v>
      </c>
      <c r="AQ3" s="1136" t="s">
        <v>565</v>
      </c>
    </row>
    <row r="4" spans="1:81">
      <c r="A4" s="1131" t="s">
        <v>305</v>
      </c>
      <c r="B4" s="1132" t="s">
        <v>560</v>
      </c>
      <c r="C4" s="1132"/>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1133"/>
    </row>
    <row r="5" spans="1:81" s="278" customFormat="1">
      <c r="A5" s="1075" t="s">
        <v>798</v>
      </c>
      <c r="B5" s="1076" t="s">
        <v>548</v>
      </c>
      <c r="C5" s="1076"/>
      <c r="D5" s="1077">
        <f t="shared" ref="D5:AP5" si="0">D6+D7+D8+D9+D10+D11+D13+D14+D15+D16</f>
        <v>11478.054</v>
      </c>
      <c r="E5" s="1077">
        <f t="shared" si="0"/>
        <v>11463.335000000001</v>
      </c>
      <c r="F5" s="1077">
        <f t="shared" si="0"/>
        <v>11339.874000000002</v>
      </c>
      <c r="G5" s="1077">
        <f t="shared" si="0"/>
        <v>16253.084000000001</v>
      </c>
      <c r="H5" s="1077">
        <f t="shared" si="0"/>
        <v>17505.013999999996</v>
      </c>
      <c r="I5" s="1077">
        <f t="shared" si="0"/>
        <v>16160.968999999999</v>
      </c>
      <c r="J5" s="1077">
        <f t="shared" si="0"/>
        <v>16104.778999999997</v>
      </c>
      <c r="K5" s="1077">
        <f t="shared" si="0"/>
        <v>15960.254999999996</v>
      </c>
      <c r="L5" s="1077">
        <f t="shared" si="0"/>
        <v>17780.711000000007</v>
      </c>
      <c r="M5" s="1077">
        <f t="shared" si="0"/>
        <v>16691.555999999997</v>
      </c>
      <c r="N5" s="1077">
        <f t="shared" si="0"/>
        <v>16715.5</v>
      </c>
      <c r="O5" s="1077">
        <f t="shared" si="0"/>
        <v>16664</v>
      </c>
      <c r="P5" s="1077">
        <f t="shared" si="0"/>
        <v>18909</v>
      </c>
      <c r="Q5" s="1077">
        <f t="shared" si="0"/>
        <v>18972</v>
      </c>
      <c r="R5" s="1077">
        <f t="shared" si="0"/>
        <v>18926.216999999997</v>
      </c>
      <c r="S5" s="1077">
        <f t="shared" si="0"/>
        <v>18475</v>
      </c>
      <c r="T5" s="1077">
        <f t="shared" si="0"/>
        <v>20272.199999999997</v>
      </c>
      <c r="U5" s="1077">
        <f t="shared" si="0"/>
        <v>20081</v>
      </c>
      <c r="V5" s="1077">
        <f t="shared" si="0"/>
        <v>20113</v>
      </c>
      <c r="W5" s="1077">
        <f t="shared" si="0"/>
        <v>19611.293000000001</v>
      </c>
      <c r="X5" s="1077">
        <f t="shared" si="0"/>
        <v>19594</v>
      </c>
      <c r="Y5" s="1077">
        <f t="shared" si="0"/>
        <v>21490.516</v>
      </c>
      <c r="Z5" s="1077">
        <f t="shared" si="0"/>
        <v>22531</v>
      </c>
      <c r="AA5" s="1077">
        <f t="shared" si="0"/>
        <v>22348</v>
      </c>
      <c r="AB5" s="1077">
        <f t="shared" si="0"/>
        <v>22942.391</v>
      </c>
      <c r="AC5" s="1077">
        <f t="shared" si="0"/>
        <v>24769.895</v>
      </c>
      <c r="AD5" s="1077">
        <f t="shared" si="0"/>
        <v>24817.207000000002</v>
      </c>
      <c r="AE5" s="1077">
        <f t="shared" si="0"/>
        <v>24608.208999999999</v>
      </c>
      <c r="AF5" s="1077">
        <f t="shared" si="0"/>
        <v>26107.910999999996</v>
      </c>
      <c r="AG5" s="1077">
        <f t="shared" si="0"/>
        <v>25820.378000000001</v>
      </c>
      <c r="AH5" s="1077">
        <f t="shared" si="0"/>
        <v>27025.9</v>
      </c>
      <c r="AI5" s="1077">
        <f t="shared" si="0"/>
        <v>28349.699999999997</v>
      </c>
      <c r="AJ5" s="1077">
        <f t="shared" si="0"/>
        <v>28671</v>
      </c>
      <c r="AK5" s="1077">
        <f t="shared" si="0"/>
        <v>30276</v>
      </c>
      <c r="AL5" s="1077">
        <f t="shared" si="0"/>
        <v>31497</v>
      </c>
      <c r="AM5" s="1077">
        <f t="shared" si="0"/>
        <v>32326</v>
      </c>
      <c r="AN5" s="1077">
        <f t="shared" si="0"/>
        <v>32759</v>
      </c>
      <c r="AO5" s="1077">
        <f t="shared" si="0"/>
        <v>33238</v>
      </c>
      <c r="AP5" s="1077">
        <f t="shared" si="0"/>
        <v>34522</v>
      </c>
      <c r="AQ5" s="1078">
        <v>35150</v>
      </c>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row>
    <row r="6" spans="1:81" s="280" customFormat="1" ht="13.5" hidden="1" outlineLevel="1">
      <c r="A6" s="1079" t="s">
        <v>71</v>
      </c>
      <c r="B6" s="1080" t="s">
        <v>214</v>
      </c>
      <c r="C6" s="1080"/>
      <c r="D6" s="1081">
        <v>1000</v>
      </c>
      <c r="E6" s="1081">
        <v>1000</v>
      </c>
      <c r="F6" s="1081">
        <v>1000</v>
      </c>
      <c r="G6" s="1081">
        <v>1250</v>
      </c>
      <c r="H6" s="1081">
        <v>1250</v>
      </c>
      <c r="I6" s="1081">
        <v>1250</v>
      </c>
      <c r="J6" s="1081">
        <v>1250</v>
      </c>
      <c r="K6" s="1081">
        <v>1250</v>
      </c>
      <c r="L6" s="1081">
        <v>1250</v>
      </c>
      <c r="M6" s="1081">
        <v>1250</v>
      </c>
      <c r="N6" s="1081">
        <v>1250</v>
      </c>
      <c r="O6" s="1081">
        <v>1250</v>
      </c>
      <c r="P6" s="1081">
        <v>1250</v>
      </c>
      <c r="Q6" s="1081">
        <v>1250</v>
      </c>
      <c r="R6" s="1081">
        <v>1250</v>
      </c>
      <c r="S6" s="1081">
        <v>1250</v>
      </c>
      <c r="T6" s="1081">
        <v>1250</v>
      </c>
      <c r="U6" s="1081">
        <v>1250</v>
      </c>
      <c r="V6" s="1081">
        <v>1250</v>
      </c>
      <c r="W6" s="1081">
        <v>1250</v>
      </c>
      <c r="X6" s="1081">
        <v>1250</v>
      </c>
      <c r="Y6" s="1081">
        <v>1250</v>
      </c>
      <c r="Z6" s="1081">
        <v>1250</v>
      </c>
      <c r="AA6" s="1081">
        <v>1250</v>
      </c>
      <c r="AB6" s="1081">
        <v>1250</v>
      </c>
      <c r="AC6" s="1081">
        <v>1250</v>
      </c>
      <c r="AD6" s="1081">
        <v>1250</v>
      </c>
      <c r="AE6" s="1081">
        <v>1250</v>
      </c>
      <c r="AF6" s="1081">
        <v>1250</v>
      </c>
      <c r="AG6" s="1081">
        <v>1250</v>
      </c>
      <c r="AH6" s="1081">
        <v>1250</v>
      </c>
      <c r="AI6" s="1081">
        <v>1250</v>
      </c>
      <c r="AJ6" s="1081">
        <v>1250</v>
      </c>
      <c r="AK6" s="1081">
        <v>1250</v>
      </c>
      <c r="AL6" s="1081">
        <v>1250</v>
      </c>
      <c r="AM6" s="1081">
        <v>1250</v>
      </c>
      <c r="AN6" s="1081">
        <v>1250</v>
      </c>
      <c r="AO6" s="1081">
        <v>1250</v>
      </c>
      <c r="AP6" s="1081">
        <v>1250</v>
      </c>
      <c r="AQ6" s="1082">
        <v>1250</v>
      </c>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row>
    <row r="7" spans="1:81" s="280" customFormat="1" ht="27" hidden="1" outlineLevel="1">
      <c r="A7" s="1079" t="s">
        <v>542</v>
      </c>
      <c r="B7" s="1080" t="s">
        <v>534</v>
      </c>
      <c r="C7" s="1080"/>
      <c r="D7" s="1081">
        <f>7273.044+1523.827</f>
        <v>8796.8709999999992</v>
      </c>
      <c r="E7" s="1081">
        <f>7318.557+3405.087</f>
        <v>10723.644</v>
      </c>
      <c r="F7" s="1081">
        <f>7318.557+3405.087</f>
        <v>10723.644</v>
      </c>
      <c r="G7" s="1081">
        <f>12149.682+3405.087</f>
        <v>15554.769</v>
      </c>
      <c r="H7" s="1081">
        <f>12149.68+3405.09</f>
        <v>15554.77</v>
      </c>
      <c r="I7" s="1081">
        <f>12162.177+3405.087</f>
        <v>15567.263999999999</v>
      </c>
      <c r="J7" s="1081">
        <f>12162.177+3405.087</f>
        <v>15567.263999999999</v>
      </c>
      <c r="K7" s="1081">
        <f>12212.177+3412.239</f>
        <v>15624.415999999999</v>
      </c>
      <c r="L7" s="1081">
        <f>12206.784+3412.239</f>
        <v>15619.022999999999</v>
      </c>
      <c r="M7" s="1081">
        <f>13042.377+3460.368</f>
        <v>16502.744999999999</v>
      </c>
      <c r="N7" s="1081">
        <f>13041+3460</f>
        <v>16501</v>
      </c>
      <c r="O7" s="1081">
        <f>13041+3460</f>
        <v>16501</v>
      </c>
      <c r="P7" s="1081">
        <f>13041+3374</f>
        <v>16415</v>
      </c>
      <c r="Q7" s="1081">
        <f>15364+3438</f>
        <v>18802</v>
      </c>
      <c r="R7" s="1081">
        <f>15363.67+3437.957</f>
        <v>18801.627</v>
      </c>
      <c r="S7" s="1081">
        <f>15365+3438</f>
        <v>18803</v>
      </c>
      <c r="T7" s="1081">
        <f>15365+3438</f>
        <v>18803</v>
      </c>
      <c r="U7" s="1081">
        <f>16782+3469</f>
        <v>20251</v>
      </c>
      <c r="V7" s="1081">
        <f>16782+3469</f>
        <v>20251</v>
      </c>
      <c r="W7" s="1081">
        <f>16760.686+3469.107</f>
        <v>20229.793000000001</v>
      </c>
      <c r="X7" s="1081">
        <f>16761+3469</f>
        <v>20230</v>
      </c>
      <c r="Y7" s="1081">
        <v>22126.414000000001</v>
      </c>
      <c r="Z7" s="1081">
        <v>22169</v>
      </c>
      <c r="AA7" s="1081">
        <v>22127</v>
      </c>
      <c r="AB7" s="1081">
        <v>22127</v>
      </c>
      <c r="AC7" s="1081">
        <v>24120</v>
      </c>
      <c r="AD7" s="1081">
        <v>24116</v>
      </c>
      <c r="AE7" s="1081">
        <v>24118.5</v>
      </c>
      <c r="AF7" s="1081">
        <v>24118.94</v>
      </c>
      <c r="AG7" s="1081">
        <v>26720</v>
      </c>
      <c r="AH7" s="1081">
        <v>26719.5</v>
      </c>
      <c r="AI7" s="1081">
        <v>27969.5</v>
      </c>
      <c r="AJ7" s="1081">
        <v>27969</v>
      </c>
      <c r="AK7" s="1081">
        <v>30891</v>
      </c>
      <c r="AL7" s="1081">
        <v>30891</v>
      </c>
      <c r="AM7" s="1081">
        <v>30891</v>
      </c>
      <c r="AN7" s="1081">
        <v>30941</v>
      </c>
      <c r="AO7" s="1081">
        <v>33034</v>
      </c>
      <c r="AP7" s="1081">
        <v>33034</v>
      </c>
      <c r="AQ7" s="1082">
        <v>33034</v>
      </c>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row>
    <row r="8" spans="1:81" s="280" customFormat="1" ht="27" hidden="1" outlineLevel="1">
      <c r="A8" s="1079" t="s">
        <v>307</v>
      </c>
      <c r="B8" s="1080" t="s">
        <v>550</v>
      </c>
      <c r="C8" s="1080"/>
      <c r="D8" s="1081">
        <v>1070</v>
      </c>
      <c r="E8" s="1081">
        <v>1070</v>
      </c>
      <c r="F8" s="1081">
        <v>1070</v>
      </c>
      <c r="G8" s="1081">
        <v>1070</v>
      </c>
      <c r="H8" s="1081">
        <v>1070</v>
      </c>
      <c r="I8" s="1081">
        <v>1070</v>
      </c>
      <c r="J8" s="1081">
        <v>1070</v>
      </c>
      <c r="K8" s="1081">
        <v>1070</v>
      </c>
      <c r="L8" s="1081">
        <v>1070</v>
      </c>
      <c r="M8" s="1081">
        <v>1070</v>
      </c>
      <c r="N8" s="1081">
        <v>1070</v>
      </c>
      <c r="O8" s="1081">
        <v>1070</v>
      </c>
      <c r="P8" s="1081">
        <v>1070</v>
      </c>
      <c r="Q8" s="1081">
        <v>1070</v>
      </c>
      <c r="R8" s="1081">
        <v>1070</v>
      </c>
      <c r="S8" s="1081">
        <v>1070</v>
      </c>
      <c r="T8" s="1081">
        <v>1070</v>
      </c>
      <c r="U8" s="1081">
        <v>1070</v>
      </c>
      <c r="V8" s="1081">
        <v>1070</v>
      </c>
      <c r="W8" s="1081">
        <v>1070</v>
      </c>
      <c r="X8" s="1081">
        <v>1070</v>
      </c>
      <c r="Y8" s="1081">
        <v>1070</v>
      </c>
      <c r="Z8" s="1081">
        <v>1070</v>
      </c>
      <c r="AA8" s="1081">
        <v>1070</v>
      </c>
      <c r="AB8" s="1081">
        <v>1070</v>
      </c>
      <c r="AC8" s="1081">
        <v>1070</v>
      </c>
      <c r="AD8" s="1081">
        <v>1070</v>
      </c>
      <c r="AE8" s="1081">
        <v>1070</v>
      </c>
      <c r="AF8" s="1081">
        <v>1070</v>
      </c>
      <c r="AG8" s="1081">
        <v>1070</v>
      </c>
      <c r="AH8" s="1081">
        <v>1070</v>
      </c>
      <c r="AI8" s="1081">
        <v>1070</v>
      </c>
      <c r="AJ8" s="1081">
        <v>1070</v>
      </c>
      <c r="AK8" s="1081">
        <v>1070</v>
      </c>
      <c r="AL8" s="1081">
        <v>1070</v>
      </c>
      <c r="AM8" s="1081">
        <v>1070</v>
      </c>
      <c r="AN8" s="1081">
        <v>1070</v>
      </c>
      <c r="AO8" s="1081">
        <v>1070</v>
      </c>
      <c r="AP8" s="1081">
        <v>1070</v>
      </c>
      <c r="AQ8" s="1082">
        <v>1070</v>
      </c>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row>
    <row r="9" spans="1:81" s="280" customFormat="1" ht="13.5" hidden="1" outlineLevel="1">
      <c r="A9" s="1079" t="s">
        <v>529</v>
      </c>
      <c r="B9" s="1080" t="s">
        <v>551</v>
      </c>
      <c r="C9" s="1080"/>
      <c r="D9" s="1081"/>
      <c r="E9" s="1081"/>
      <c r="F9" s="1081"/>
      <c r="G9" s="1081"/>
      <c r="H9" s="1081"/>
      <c r="I9" s="1081"/>
      <c r="J9" s="1081"/>
      <c r="K9" s="1081"/>
      <c r="L9" s="1081"/>
      <c r="M9" s="1081"/>
      <c r="N9" s="1081"/>
      <c r="O9" s="1081"/>
      <c r="P9" s="1081"/>
      <c r="Q9" s="1081"/>
      <c r="R9" s="1081"/>
      <c r="S9" s="1081"/>
      <c r="T9" s="1081"/>
      <c r="U9" s="1081"/>
      <c r="V9" s="1081"/>
      <c r="W9" s="1081"/>
      <c r="X9" s="1081"/>
      <c r="Y9" s="1081">
        <v>-254.71799999999999</v>
      </c>
      <c r="Z9" s="1081">
        <v>-256</v>
      </c>
      <c r="AA9" s="1081">
        <v>-291</v>
      </c>
      <c r="AB9" s="1081">
        <v>-227</v>
      </c>
      <c r="AC9" s="1081">
        <v>-415</v>
      </c>
      <c r="AD9" s="1081">
        <v>-415</v>
      </c>
      <c r="AE9" s="1081">
        <v>-135.80000000000001</v>
      </c>
      <c r="AF9" s="1081">
        <v>-13.61</v>
      </c>
      <c r="AG9" s="1081">
        <v>-338</v>
      </c>
      <c r="AH9" s="1081">
        <v>-381</v>
      </c>
      <c r="AI9" s="1081">
        <v>-709.4</v>
      </c>
      <c r="AJ9" s="1081">
        <v>-442</v>
      </c>
      <c r="AK9" s="1081">
        <v>-305</v>
      </c>
      <c r="AL9" s="1081">
        <v>-208</v>
      </c>
      <c r="AM9" s="1081">
        <v>-113</v>
      </c>
      <c r="AN9" s="1081">
        <v>6</v>
      </c>
      <c r="AO9" s="1081">
        <v>-23</v>
      </c>
      <c r="AP9" s="1081">
        <v>-129</v>
      </c>
      <c r="AQ9" s="1082">
        <v>249</v>
      </c>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row>
    <row r="10" spans="1:81" s="280" customFormat="1" ht="13.5" hidden="1" outlineLevel="1">
      <c r="A10" s="1079" t="s">
        <v>769</v>
      </c>
      <c r="B10" s="1080" t="s">
        <v>549</v>
      </c>
      <c r="C10" s="1080"/>
      <c r="D10" s="1083">
        <f>3175.579-1000</f>
        <v>2175.5790000000002</v>
      </c>
      <c r="E10" s="1081">
        <v>248.80600000000001</v>
      </c>
      <c r="F10" s="1081">
        <v>248.80600000000001</v>
      </c>
      <c r="G10" s="1081">
        <v>248.80600000000001</v>
      </c>
      <c r="H10" s="1081">
        <v>1555.106</v>
      </c>
      <c r="I10" s="1081">
        <v>167.61</v>
      </c>
      <c r="J10" s="1081">
        <v>169.1</v>
      </c>
      <c r="K10" s="1081">
        <v>112.297</v>
      </c>
      <c r="L10" s="1081">
        <v>1959.5730000000001</v>
      </c>
      <c r="M10" s="1081">
        <v>-24.149000000000001</v>
      </c>
      <c r="N10" s="1081">
        <v>-23</v>
      </c>
      <c r="O10" s="1081">
        <v>-23</v>
      </c>
      <c r="P10" s="1081">
        <v>2283</v>
      </c>
      <c r="Q10" s="1081">
        <v>-103</v>
      </c>
      <c r="R10" s="1081">
        <v>-103.34</v>
      </c>
      <c r="S10" s="1081">
        <v>-417</v>
      </c>
      <c r="T10" s="1081">
        <v>1395</v>
      </c>
      <c r="U10" s="1081">
        <v>-56</v>
      </c>
      <c r="V10" s="1081">
        <v>-56</v>
      </c>
      <c r="W10" s="1081">
        <v>-306</v>
      </c>
      <c r="X10" s="1081">
        <v>-310</v>
      </c>
      <c r="Y10" s="1081">
        <v>172</v>
      </c>
      <c r="Z10" s="1081">
        <v>1170</v>
      </c>
      <c r="AA10" s="1081">
        <v>1176</v>
      </c>
      <c r="AB10" s="1081">
        <v>1615</v>
      </c>
      <c r="AC10" s="1081">
        <v>1589.54</v>
      </c>
      <c r="AD10" s="1081">
        <v>1589.4</v>
      </c>
      <c r="AE10" s="1081">
        <v>1390.1</v>
      </c>
      <c r="AF10" s="1081">
        <v>2885.1350000000002</v>
      </c>
      <c r="AG10" s="1081">
        <v>197</v>
      </c>
      <c r="AH10" s="1081">
        <v>1348</v>
      </c>
      <c r="AI10" s="1081">
        <v>1769.8</v>
      </c>
      <c r="AJ10" s="1081">
        <v>1770</v>
      </c>
      <c r="AK10" s="1081">
        <v>237</v>
      </c>
      <c r="AL10" s="1081">
        <v>1355</v>
      </c>
      <c r="AM10" s="1081">
        <v>2059</v>
      </c>
      <c r="AN10" s="1081">
        <v>2155</v>
      </c>
      <c r="AO10" s="1081">
        <v>574</v>
      </c>
      <c r="AP10" s="1081">
        <v>1892</v>
      </c>
      <c r="AQ10" s="1082">
        <v>2448</v>
      </c>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row>
    <row r="11" spans="1:81" s="280" customFormat="1" ht="13.5" hidden="1" outlineLevel="1">
      <c r="A11" s="1079" t="s">
        <v>561</v>
      </c>
      <c r="B11" s="1080" t="s">
        <v>553</v>
      </c>
      <c r="C11" s="1080"/>
      <c r="D11" s="1081">
        <v>-1436.329</v>
      </c>
      <c r="E11" s="1081">
        <v>-1428.826</v>
      </c>
      <c r="F11" s="1081">
        <v>-1475.06</v>
      </c>
      <c r="G11" s="1081">
        <v>-1572.577</v>
      </c>
      <c r="H11" s="1081">
        <v>-1617.0229999999999</v>
      </c>
      <c r="I11" s="1081">
        <v>-1625.7470000000001</v>
      </c>
      <c r="J11" s="1081">
        <v>-1644.7170000000001</v>
      </c>
      <c r="K11" s="1081">
        <v>-1802.037</v>
      </c>
      <c r="L11" s="1081">
        <v>-1785.0989999999999</v>
      </c>
      <c r="M11" s="1081">
        <f>-1781.5</f>
        <v>-1781.5</v>
      </c>
      <c r="N11" s="1081">
        <v>-1780</v>
      </c>
      <c r="O11" s="1081">
        <v>-1800</v>
      </c>
      <c r="P11" s="1081">
        <v>-1792</v>
      </c>
      <c r="Q11" s="1081">
        <v>-1771</v>
      </c>
      <c r="R11" s="1081">
        <v>-1797.5260000000001</v>
      </c>
      <c r="S11" s="1081">
        <v>-1934</v>
      </c>
      <c r="T11" s="1081">
        <v>-1912</v>
      </c>
      <c r="U11" s="1081">
        <v>-1984</v>
      </c>
      <c r="V11" s="1081">
        <v>-1962</v>
      </c>
      <c r="W11" s="1081">
        <v>-2230</v>
      </c>
      <c r="X11" s="1081">
        <v>-2190</v>
      </c>
      <c r="Y11" s="1081">
        <f>-1065.607-1790.573</f>
        <v>-2856.1800000000003</v>
      </c>
      <c r="Z11" s="1081">
        <f>-1073-1779</f>
        <v>-2852</v>
      </c>
      <c r="AA11" s="1081">
        <f>-1102-1834</f>
        <v>-2936</v>
      </c>
      <c r="AB11" s="1081">
        <v>-2839.6090000000004</v>
      </c>
      <c r="AC11" s="1081">
        <f>-1102.497-1696.148</f>
        <v>-2798.645</v>
      </c>
      <c r="AD11" s="1081">
        <f>-1102.497-1633.696</f>
        <v>-2736.1930000000002</v>
      </c>
      <c r="AE11" s="1081">
        <f>-1102.497-1690.794</f>
        <v>-2793.2910000000002</v>
      </c>
      <c r="AF11" s="1081">
        <f>-1796.777-1102.497</f>
        <v>-2899.2740000000003</v>
      </c>
      <c r="AG11" s="1081">
        <f>-1102.497-1737.125</f>
        <v>-2839.6220000000003</v>
      </c>
      <c r="AH11" s="1081">
        <f>-1102.5-1702.1</f>
        <v>-2804.6</v>
      </c>
      <c r="AI11" s="1081">
        <f>-1159.9-1821.3</f>
        <v>-2981.2</v>
      </c>
      <c r="AJ11" s="1081">
        <f>-1160-1747</f>
        <v>-2907</v>
      </c>
      <c r="AK11" s="1081">
        <f>-1160-1683</f>
        <v>-2843</v>
      </c>
      <c r="AL11" s="1081">
        <f>-1160-1635</f>
        <v>-2795</v>
      </c>
      <c r="AM11" s="1081">
        <f>-1160-1654</f>
        <v>-2814</v>
      </c>
      <c r="AN11" s="1081">
        <f>-1160-1584</f>
        <v>-2744</v>
      </c>
      <c r="AO11" s="1081">
        <f>-1160-1549</f>
        <v>-2709</v>
      </c>
      <c r="AP11" s="1081">
        <f>-1160-1524</f>
        <v>-2684</v>
      </c>
      <c r="AQ11" s="1082">
        <f>-1160-1650</f>
        <v>-2810</v>
      </c>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row>
    <row r="12" spans="1:81" s="281" customFormat="1" ht="13.5" hidden="1" outlineLevel="1">
      <c r="A12" s="1084" t="s">
        <v>563</v>
      </c>
      <c r="B12" s="1085" t="s">
        <v>552</v>
      </c>
      <c r="C12" s="1085"/>
      <c r="D12" s="1086">
        <v>-164.72</v>
      </c>
      <c r="E12" s="1086">
        <v>-164.72</v>
      </c>
      <c r="F12" s="1086">
        <v>-164.72</v>
      </c>
      <c r="G12" s="1086">
        <v>-264.93299999999999</v>
      </c>
      <c r="H12" s="1086">
        <v>-264.93299999999999</v>
      </c>
      <c r="I12" s="1086">
        <v>-264.93299999999999</v>
      </c>
      <c r="J12" s="1086">
        <v>-264.93299999999999</v>
      </c>
      <c r="K12" s="1086">
        <v>-229.74</v>
      </c>
      <c r="L12" s="1086">
        <v>-228.94</v>
      </c>
      <c r="M12" s="1086">
        <v>-227.9</v>
      </c>
      <c r="N12" s="1086">
        <v>-227</v>
      </c>
      <c r="O12" s="1086">
        <v>-227</v>
      </c>
      <c r="P12" s="1086">
        <v>-229</v>
      </c>
      <c r="Q12" s="1086">
        <v>-229</v>
      </c>
      <c r="R12" s="1086">
        <v>-227.43100000000001</v>
      </c>
      <c r="S12" s="1086">
        <v>-222</v>
      </c>
      <c r="T12" s="1086">
        <v>-222</v>
      </c>
      <c r="U12" s="1086">
        <v>-221</v>
      </c>
      <c r="V12" s="1086">
        <v>-220</v>
      </c>
      <c r="W12" s="1086">
        <v>-218</v>
      </c>
      <c r="X12" s="1086">
        <v>-236</v>
      </c>
      <c r="Y12" s="1086">
        <v>-1066</v>
      </c>
      <c r="Z12" s="1086">
        <v>-1073</v>
      </c>
      <c r="AA12" s="1086">
        <v>-1102</v>
      </c>
      <c r="AB12" s="1086">
        <v>-1102</v>
      </c>
      <c r="AC12" s="1086">
        <v>-1102</v>
      </c>
      <c r="AD12" s="1086">
        <v>-1102</v>
      </c>
      <c r="AE12" s="1086">
        <v>-1102.4000000000001</v>
      </c>
      <c r="AF12" s="1086">
        <v>-1102</v>
      </c>
      <c r="AG12" s="1086">
        <v>-1102.4970000000001</v>
      </c>
      <c r="AH12" s="1086">
        <v>-1102.4970000000001</v>
      </c>
      <c r="AI12" s="1086">
        <v>-1159.8</v>
      </c>
      <c r="AJ12" s="1086">
        <v>-1160</v>
      </c>
      <c r="AK12" s="1086">
        <v>-1160</v>
      </c>
      <c r="AL12" s="1086">
        <v>-1160</v>
      </c>
      <c r="AM12" s="1086">
        <v>-1160</v>
      </c>
      <c r="AN12" s="1086">
        <v>-1160</v>
      </c>
      <c r="AO12" s="1086">
        <v>-1160</v>
      </c>
      <c r="AP12" s="1086">
        <v>-1160</v>
      </c>
      <c r="AQ12" s="1087">
        <v>-1160</v>
      </c>
      <c r="AR12" s="1062"/>
      <c r="AS12" s="1062"/>
      <c r="AT12" s="1062"/>
      <c r="AU12" s="1062"/>
      <c r="AV12" s="1062"/>
      <c r="AW12" s="1062"/>
      <c r="AX12" s="1062"/>
      <c r="AY12" s="1062"/>
      <c r="AZ12" s="1062"/>
      <c r="BA12" s="1062"/>
      <c r="BB12" s="1062"/>
      <c r="BC12" s="1062"/>
      <c r="BD12" s="1062"/>
      <c r="BE12" s="1062"/>
      <c r="BF12" s="1062"/>
      <c r="BG12" s="1062"/>
      <c r="BH12" s="1062"/>
      <c r="BI12" s="1062"/>
      <c r="BJ12" s="1062"/>
      <c r="BK12" s="1062"/>
      <c r="BL12" s="1062"/>
      <c r="BM12" s="1062"/>
      <c r="BN12" s="1062"/>
      <c r="BO12" s="1062"/>
      <c r="BP12" s="1062"/>
      <c r="BQ12" s="1062"/>
      <c r="BR12" s="1062"/>
      <c r="BS12" s="1062"/>
      <c r="BT12" s="1062"/>
      <c r="BU12" s="1062"/>
      <c r="BV12" s="1062"/>
      <c r="BW12" s="1062"/>
      <c r="BX12" s="1062"/>
      <c r="BY12" s="1062"/>
      <c r="BZ12" s="1062"/>
      <c r="CA12" s="1062"/>
      <c r="CB12" s="1062"/>
      <c r="CC12" s="1062"/>
    </row>
    <row r="13" spans="1:81" s="280" customFormat="1" ht="40.5" hidden="1" outlineLevel="1">
      <c r="A13" s="1079" t="s">
        <v>258</v>
      </c>
      <c r="B13" s="1080" t="s">
        <v>554</v>
      </c>
      <c r="C13" s="1080"/>
      <c r="D13" s="1088"/>
      <c r="E13" s="1088"/>
      <c r="F13" s="1088"/>
      <c r="G13" s="1088"/>
      <c r="H13" s="1088"/>
      <c r="I13" s="1088"/>
      <c r="J13" s="1088"/>
      <c r="K13" s="1088"/>
      <c r="L13" s="1088"/>
      <c r="M13" s="1088"/>
      <c r="N13" s="1088"/>
      <c r="O13" s="1088"/>
      <c r="P13" s="1088"/>
      <c r="Q13" s="1088"/>
      <c r="R13" s="1088"/>
      <c r="S13" s="1088"/>
      <c r="T13" s="1088"/>
      <c r="U13" s="1088"/>
      <c r="V13" s="1088"/>
      <c r="W13" s="1088"/>
      <c r="X13" s="1088"/>
      <c r="Y13" s="1081">
        <v>-8</v>
      </c>
      <c r="Z13" s="1081">
        <v>-8</v>
      </c>
      <c r="AA13" s="1081">
        <v>-12</v>
      </c>
      <c r="AB13" s="1081">
        <v>-12</v>
      </c>
      <c r="AC13" s="1081">
        <v>-5</v>
      </c>
      <c r="AD13" s="1081">
        <v>-1</v>
      </c>
      <c r="AE13" s="1081">
        <f>-2+1.2</f>
        <v>-0.8</v>
      </c>
      <c r="AF13" s="1081">
        <v>-1.5</v>
      </c>
      <c r="AG13" s="1081">
        <v>-2</v>
      </c>
      <c r="AH13" s="1081">
        <v>-1</v>
      </c>
      <c r="AI13" s="1081">
        <v>-1</v>
      </c>
      <c r="AJ13" s="1081">
        <v>-1</v>
      </c>
      <c r="AK13" s="1088"/>
      <c r="AL13" s="1088"/>
      <c r="AM13" s="1088"/>
      <c r="AN13" s="1088"/>
      <c r="AO13" s="1088"/>
      <c r="AP13" s="1088"/>
      <c r="AQ13" s="1089"/>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row>
    <row r="14" spans="1:81" s="280" customFormat="1" ht="27" hidden="1" outlineLevel="1">
      <c r="A14" s="1079" t="s">
        <v>259</v>
      </c>
      <c r="B14" s="1080" t="s">
        <v>770</v>
      </c>
      <c r="C14" s="1080"/>
      <c r="D14" s="1081">
        <v>-101.482</v>
      </c>
      <c r="E14" s="1081">
        <v>-82.685999999999993</v>
      </c>
      <c r="F14" s="1081">
        <v>-163.11699999999999</v>
      </c>
      <c r="G14" s="1081">
        <v>-162.87200000000001</v>
      </c>
      <c r="H14" s="1081">
        <v>-168.93700000000001</v>
      </c>
      <c r="I14" s="1081">
        <v>-130.70699999999999</v>
      </c>
      <c r="J14" s="1081">
        <v>-191.41500000000002</v>
      </c>
      <c r="K14" s="1081">
        <v>-178.126</v>
      </c>
      <c r="L14" s="1081">
        <v>-216.20600000000002</v>
      </c>
      <c r="M14" s="1081">
        <v>-210.09</v>
      </c>
      <c r="N14" s="1081">
        <v>-188.5</v>
      </c>
      <c r="O14" s="1081">
        <v>-224</v>
      </c>
      <c r="P14" s="1081">
        <v>-202</v>
      </c>
      <c r="Q14" s="1081">
        <v>-195</v>
      </c>
      <c r="R14" s="1081">
        <v>-206.363</v>
      </c>
      <c r="S14" s="1081">
        <v>-199</v>
      </c>
      <c r="T14" s="1081">
        <v>-215.4</v>
      </c>
      <c r="U14" s="1081">
        <v>-327</v>
      </c>
      <c r="V14" s="1081">
        <v>-319</v>
      </c>
      <c r="W14" s="1081">
        <v>-282</v>
      </c>
      <c r="X14" s="1081">
        <v>-324</v>
      </c>
      <c r="Y14" s="1081">
        <v>-9</v>
      </c>
      <c r="Z14" s="1081">
        <v>-12</v>
      </c>
      <c r="AA14" s="1081">
        <v>-36</v>
      </c>
      <c r="AB14" s="1081">
        <v>-41</v>
      </c>
      <c r="AC14" s="1081">
        <v>-41</v>
      </c>
      <c r="AD14" s="1081">
        <v>-56</v>
      </c>
      <c r="AE14" s="1081">
        <v>-14.399999999999991</v>
      </c>
      <c r="AF14" s="1081">
        <v>-121.78</v>
      </c>
      <c r="AG14" s="1081">
        <v>-191</v>
      </c>
      <c r="AH14" s="1081">
        <v>-122</v>
      </c>
      <c r="AI14" s="1081">
        <v>30.900000000000006</v>
      </c>
      <c r="AJ14" s="1081">
        <v>12</v>
      </c>
      <c r="AK14" s="1081">
        <v>36</v>
      </c>
      <c r="AL14" s="1081">
        <v>-1</v>
      </c>
      <c r="AM14" s="1081">
        <v>55</v>
      </c>
      <c r="AN14" s="1081">
        <v>81</v>
      </c>
      <c r="AO14" s="1081">
        <v>42</v>
      </c>
      <c r="AP14" s="1081">
        <v>89</v>
      </c>
      <c r="AQ14" s="1082">
        <v>-91</v>
      </c>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row>
    <row r="15" spans="1:81" s="280" customFormat="1" ht="27" hidden="1" outlineLevel="1">
      <c r="A15" s="1079" t="s">
        <v>260</v>
      </c>
      <c r="B15" s="1080" t="s">
        <v>555</v>
      </c>
      <c r="C15" s="1080"/>
      <c r="D15" s="1081">
        <v>-73.481999999999999</v>
      </c>
      <c r="E15" s="1081">
        <v>-90.727999999999994</v>
      </c>
      <c r="F15" s="1081">
        <v>-91.375</v>
      </c>
      <c r="G15" s="1081">
        <v>-142.37100000000001</v>
      </c>
      <c r="H15" s="1081">
        <v>-144.50299999999999</v>
      </c>
      <c r="I15" s="1081">
        <v>-142.244</v>
      </c>
      <c r="J15" s="1081">
        <v>-118.761</v>
      </c>
      <c r="K15" s="1081">
        <v>-118.285</v>
      </c>
      <c r="L15" s="1081">
        <v>-118.206</v>
      </c>
      <c r="M15" s="1081">
        <v>-116.45</v>
      </c>
      <c r="N15" s="1081">
        <v>-114</v>
      </c>
      <c r="O15" s="1081">
        <v>-109</v>
      </c>
      <c r="P15" s="1081">
        <v>-114</v>
      </c>
      <c r="Q15" s="1081">
        <v>-79</v>
      </c>
      <c r="R15" s="1081">
        <v>-86.373000000000005</v>
      </c>
      <c r="S15" s="1081">
        <v>-98</v>
      </c>
      <c r="T15" s="1081">
        <v>-118</v>
      </c>
      <c r="U15" s="1081">
        <v>-126</v>
      </c>
      <c r="V15" s="1081">
        <v>-123</v>
      </c>
      <c r="W15" s="1081">
        <v>-122</v>
      </c>
      <c r="X15" s="1081">
        <v>-130</v>
      </c>
      <c r="Y15" s="1088"/>
      <c r="Z15" s="1088"/>
      <c r="AA15" s="1088"/>
      <c r="AB15" s="1088"/>
      <c r="AC15" s="1088"/>
      <c r="AD15" s="1088"/>
      <c r="AE15" s="1081">
        <v>-276.10000000000002</v>
      </c>
      <c r="AF15" s="1081">
        <v>-180</v>
      </c>
      <c r="AG15" s="1081">
        <v>-46</v>
      </c>
      <c r="AH15" s="1081">
        <v>-53</v>
      </c>
      <c r="AI15" s="1081">
        <v>-48.900000000000006</v>
      </c>
      <c r="AJ15" s="1081">
        <v>-50</v>
      </c>
      <c r="AK15" s="1081">
        <v>-60</v>
      </c>
      <c r="AL15" s="1081">
        <v>-65</v>
      </c>
      <c r="AM15" s="1081">
        <v>-72</v>
      </c>
      <c r="AN15" s="1088"/>
      <c r="AO15" s="1088"/>
      <c r="AP15" s="1088"/>
      <c r="AQ15" s="1089"/>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row>
    <row r="16" spans="1:81" s="280" customFormat="1" ht="13.5" hidden="1" outlineLevel="1">
      <c r="A16" s="1079" t="s">
        <v>77</v>
      </c>
      <c r="B16" s="1080" t="s">
        <v>661</v>
      </c>
      <c r="C16" s="1080"/>
      <c r="D16" s="1081">
        <v>46.896999999999998</v>
      </c>
      <c r="E16" s="1081">
        <v>23.125</v>
      </c>
      <c r="F16" s="1081">
        <v>26.975999999999999</v>
      </c>
      <c r="G16" s="1081">
        <v>7.3289999999999997</v>
      </c>
      <c r="H16" s="1081">
        <v>5.601</v>
      </c>
      <c r="I16" s="1081">
        <v>4.7930000000000001</v>
      </c>
      <c r="J16" s="1081">
        <v>3.3079999999999998</v>
      </c>
      <c r="K16" s="1081">
        <v>1.99</v>
      </c>
      <c r="L16" s="1081">
        <v>1.6259999999999999</v>
      </c>
      <c r="M16" s="1081">
        <v>1</v>
      </c>
      <c r="N16" s="1081">
        <v>0</v>
      </c>
      <c r="O16" s="1081">
        <v>-1</v>
      </c>
      <c r="P16" s="1081">
        <v>-1</v>
      </c>
      <c r="Q16" s="1081">
        <v>-2</v>
      </c>
      <c r="R16" s="1081">
        <v>-1.8080000000000001</v>
      </c>
      <c r="S16" s="1081">
        <v>0</v>
      </c>
      <c r="T16" s="1081">
        <v>-0.4</v>
      </c>
      <c r="U16" s="1081">
        <v>3</v>
      </c>
      <c r="V16" s="1081">
        <v>2</v>
      </c>
      <c r="W16" s="1081">
        <v>1.5</v>
      </c>
      <c r="X16" s="1081">
        <v>-2</v>
      </c>
      <c r="Y16" s="1088"/>
      <c r="Z16" s="1088"/>
      <c r="AA16" s="1088"/>
      <c r="AB16" s="1088"/>
      <c r="AC16" s="1088"/>
      <c r="AD16" s="1088"/>
      <c r="AE16" s="1081"/>
      <c r="AF16" s="1081">
        <v>0</v>
      </c>
      <c r="AG16" s="1081">
        <v>0</v>
      </c>
      <c r="AH16" s="1081">
        <v>0</v>
      </c>
      <c r="AI16" s="1081">
        <v>0</v>
      </c>
      <c r="AJ16" s="1081"/>
      <c r="AK16" s="1081">
        <v>0</v>
      </c>
      <c r="AL16" s="1081">
        <v>0</v>
      </c>
      <c r="AM16" s="1083">
        <v>0</v>
      </c>
      <c r="AN16" s="1088"/>
      <c r="AO16" s="1088"/>
      <c r="AP16" s="1088"/>
      <c r="AQ16" s="1089"/>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row>
    <row r="17" spans="1:81" s="278" customFormat="1" collapsed="1">
      <c r="A17" s="1090" t="s">
        <v>309</v>
      </c>
      <c r="B17" s="1091" t="s">
        <v>556</v>
      </c>
      <c r="C17" s="1091"/>
      <c r="D17" s="1077">
        <f t="shared" ref="D17:AP17" si="1">D18+D21+D20+D19</f>
        <v>1527.2190000000001</v>
      </c>
      <c r="E17" s="1077">
        <f t="shared" si="1"/>
        <v>1510.702</v>
      </c>
      <c r="F17" s="1077">
        <f t="shared" si="1"/>
        <v>1532.2850000000001</v>
      </c>
      <c r="G17" s="1077">
        <f t="shared" si="1"/>
        <v>1489.9579999999999</v>
      </c>
      <c r="H17" s="1077">
        <f t="shared" si="1"/>
        <v>1485.7320000000002</v>
      </c>
      <c r="I17" s="1077">
        <f t="shared" si="1"/>
        <v>1495.9490000000001</v>
      </c>
      <c r="J17" s="1077">
        <f t="shared" si="1"/>
        <v>1517.739</v>
      </c>
      <c r="K17" s="1077">
        <f t="shared" si="1"/>
        <v>1512.5450000000001</v>
      </c>
      <c r="L17" s="1077">
        <f t="shared" si="1"/>
        <v>1518.4900000000002</v>
      </c>
      <c r="M17" s="1077">
        <f t="shared" si="1"/>
        <v>1542.135</v>
      </c>
      <c r="N17" s="1077">
        <f t="shared" si="1"/>
        <v>1542</v>
      </c>
      <c r="O17" s="1077">
        <f t="shared" si="1"/>
        <v>1546</v>
      </c>
      <c r="P17" s="1077">
        <f t="shared" si="1"/>
        <v>1550</v>
      </c>
      <c r="Q17" s="1077">
        <f t="shared" si="1"/>
        <v>1569</v>
      </c>
      <c r="R17" s="1077">
        <f t="shared" si="1"/>
        <v>1549</v>
      </c>
      <c r="S17" s="1077">
        <f t="shared" si="1"/>
        <v>1573.3000000000002</v>
      </c>
      <c r="T17" s="1077">
        <f t="shared" si="1"/>
        <v>1526</v>
      </c>
      <c r="U17" s="1077">
        <f t="shared" si="1"/>
        <v>1523</v>
      </c>
      <c r="V17" s="1077">
        <f t="shared" si="1"/>
        <v>1522</v>
      </c>
      <c r="W17" s="1077">
        <f t="shared" si="1"/>
        <v>1540</v>
      </c>
      <c r="X17" s="1077">
        <f t="shared" si="1"/>
        <v>1529</v>
      </c>
      <c r="Y17" s="1077">
        <f t="shared" si="1"/>
        <v>2368</v>
      </c>
      <c r="Z17" s="1077">
        <f t="shared" si="1"/>
        <v>2376</v>
      </c>
      <c r="AA17" s="1077">
        <f t="shared" si="1"/>
        <v>2395</v>
      </c>
      <c r="AB17" s="1077">
        <f t="shared" si="1"/>
        <v>2477</v>
      </c>
      <c r="AC17" s="1077">
        <f t="shared" si="1"/>
        <v>2506</v>
      </c>
      <c r="AD17" s="1077">
        <f t="shared" si="1"/>
        <v>2469</v>
      </c>
      <c r="AE17" s="1077">
        <f t="shared" si="1"/>
        <v>2483</v>
      </c>
      <c r="AF17" s="1077">
        <f t="shared" si="1"/>
        <v>2475</v>
      </c>
      <c r="AG17" s="1077">
        <f t="shared" si="1"/>
        <v>2512</v>
      </c>
      <c r="AH17" s="1077">
        <f t="shared" si="1"/>
        <v>2492</v>
      </c>
      <c r="AI17" s="1077">
        <f t="shared" si="1"/>
        <v>2523</v>
      </c>
      <c r="AJ17" s="1077">
        <f t="shared" si="1"/>
        <v>1601</v>
      </c>
      <c r="AK17" s="1077">
        <f t="shared" si="1"/>
        <v>1601</v>
      </c>
      <c r="AL17" s="1077">
        <f t="shared" si="1"/>
        <v>1700</v>
      </c>
      <c r="AM17" s="1077">
        <f t="shared" si="1"/>
        <v>1700</v>
      </c>
      <c r="AN17" s="1077">
        <f t="shared" si="1"/>
        <v>2700</v>
      </c>
      <c r="AO17" s="1077">
        <f t="shared" si="1"/>
        <v>2700</v>
      </c>
      <c r="AP17" s="1077">
        <f t="shared" si="1"/>
        <v>2700</v>
      </c>
      <c r="AQ17" s="1078">
        <f>AQ18+AQ21+AQ20+AQ19</f>
        <v>2700</v>
      </c>
      <c r="AR17" s="1060"/>
      <c r="AS17" s="1060"/>
      <c r="AT17" s="1060"/>
      <c r="AU17" s="1060"/>
      <c r="AV17" s="1060"/>
      <c r="AW17" s="1060"/>
      <c r="AX17" s="1060"/>
      <c r="AY17" s="1060"/>
      <c r="AZ17" s="1060"/>
      <c r="BA17" s="1060"/>
      <c r="BB17" s="1060"/>
      <c r="BC17" s="1060"/>
      <c r="BD17" s="1060"/>
      <c r="BE17" s="1060"/>
      <c r="BF17" s="1060"/>
      <c r="BG17" s="1060"/>
      <c r="BH17" s="1060"/>
      <c r="BI17" s="1060"/>
      <c r="BJ17" s="1060"/>
      <c r="BK17" s="1060"/>
      <c r="BL17" s="1060"/>
      <c r="BM17" s="1060"/>
      <c r="BN17" s="1060"/>
      <c r="BO17" s="1060"/>
      <c r="BP17" s="1060"/>
      <c r="BQ17" s="1060"/>
      <c r="BR17" s="1060"/>
      <c r="BS17" s="1060"/>
      <c r="BT17" s="1060"/>
      <c r="BU17" s="1060"/>
      <c r="BV17" s="1060"/>
      <c r="BW17" s="1060"/>
      <c r="BX17" s="1060"/>
      <c r="BY17" s="1060"/>
      <c r="BZ17" s="1060"/>
      <c r="CA17" s="1060"/>
      <c r="CB17" s="1060"/>
      <c r="CC17" s="1060"/>
    </row>
    <row r="18" spans="1:81" s="280" customFormat="1" ht="40.5" hidden="1" outlineLevel="1">
      <c r="A18" s="1079" t="s">
        <v>543</v>
      </c>
      <c r="B18" s="1080" t="s">
        <v>557</v>
      </c>
      <c r="C18" s="1080"/>
      <c r="D18" s="1081">
        <v>1600.7</v>
      </c>
      <c r="E18" s="1081">
        <v>1600.7</v>
      </c>
      <c r="F18" s="1081">
        <v>1600.7</v>
      </c>
      <c r="G18" s="1081">
        <v>1600.7</v>
      </c>
      <c r="H18" s="1081">
        <v>1600.7</v>
      </c>
      <c r="I18" s="1081">
        <v>1600.7</v>
      </c>
      <c r="J18" s="1081">
        <v>1600.7</v>
      </c>
      <c r="K18" s="1081">
        <v>1600.7</v>
      </c>
      <c r="L18" s="1081">
        <v>1600.7</v>
      </c>
      <c r="M18" s="1081">
        <v>1600.7</v>
      </c>
      <c r="N18" s="1081">
        <v>1601</v>
      </c>
      <c r="O18" s="1081">
        <v>1601</v>
      </c>
      <c r="P18" s="1081">
        <v>1601</v>
      </c>
      <c r="Q18" s="1081">
        <v>1601</v>
      </c>
      <c r="R18" s="1081">
        <v>1601</v>
      </c>
      <c r="S18" s="1081">
        <v>1600.7</v>
      </c>
      <c r="T18" s="1081">
        <v>1601</v>
      </c>
      <c r="U18" s="1081">
        <v>1601</v>
      </c>
      <c r="V18" s="1081">
        <v>1601</v>
      </c>
      <c r="W18" s="1081">
        <v>1601</v>
      </c>
      <c r="X18" s="1081">
        <v>1601</v>
      </c>
      <c r="Y18" s="1081">
        <v>2368</v>
      </c>
      <c r="Z18" s="1081">
        <v>2376</v>
      </c>
      <c r="AA18" s="1081">
        <v>2395</v>
      </c>
      <c r="AB18" s="1081">
        <v>2477</v>
      </c>
      <c r="AC18" s="1081">
        <v>2506</v>
      </c>
      <c r="AD18" s="1081">
        <v>2469</v>
      </c>
      <c r="AE18" s="1081">
        <v>2483</v>
      </c>
      <c r="AF18" s="1081">
        <v>2475</v>
      </c>
      <c r="AG18" s="1081">
        <v>2512</v>
      </c>
      <c r="AH18" s="1081">
        <v>2492</v>
      </c>
      <c r="AI18" s="1081">
        <v>2523</v>
      </c>
      <c r="AJ18" s="1081">
        <v>1601</v>
      </c>
      <c r="AK18" s="1081">
        <v>1601</v>
      </c>
      <c r="AL18" s="1081">
        <v>1700</v>
      </c>
      <c r="AM18" s="1081">
        <v>1700</v>
      </c>
      <c r="AN18" s="1081">
        <v>2700</v>
      </c>
      <c r="AO18" s="1081">
        <v>2700</v>
      </c>
      <c r="AP18" s="1081">
        <v>2700</v>
      </c>
      <c r="AQ18" s="1082">
        <v>2700</v>
      </c>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row>
    <row r="19" spans="1:81" s="280" customFormat="1" ht="67.5" hidden="1" outlineLevel="1">
      <c r="A19" s="1079" t="s">
        <v>771</v>
      </c>
      <c r="B19" s="1080" t="s">
        <v>772</v>
      </c>
      <c r="C19" s="1080"/>
      <c r="D19" s="1081">
        <v>0</v>
      </c>
      <c r="E19" s="1081">
        <v>0.73</v>
      </c>
      <c r="F19" s="1081">
        <v>22.96</v>
      </c>
      <c r="G19" s="1081">
        <v>30.297999999999998</v>
      </c>
      <c r="H19" s="1081">
        <v>29.535</v>
      </c>
      <c r="I19" s="1081">
        <v>37.493000000000002</v>
      </c>
      <c r="J19" s="1081">
        <v>35.799999999999997</v>
      </c>
      <c r="K19" s="1081">
        <v>29.16</v>
      </c>
      <c r="L19" s="1081">
        <v>34.996000000000002</v>
      </c>
      <c r="M19" s="1081">
        <v>56.58</v>
      </c>
      <c r="N19" s="1081">
        <v>53</v>
      </c>
      <c r="O19" s="1081">
        <v>52</v>
      </c>
      <c r="P19" s="1081">
        <v>62</v>
      </c>
      <c r="Q19" s="1081">
        <v>44</v>
      </c>
      <c r="R19" s="1081">
        <v>32</v>
      </c>
      <c r="S19" s="1081">
        <v>69.7</v>
      </c>
      <c r="T19" s="1081">
        <v>43</v>
      </c>
      <c r="U19" s="1081">
        <v>48</v>
      </c>
      <c r="V19" s="1081">
        <v>43</v>
      </c>
      <c r="W19" s="1081">
        <v>56</v>
      </c>
      <c r="X19" s="1081">
        <v>57</v>
      </c>
      <c r="Y19" s="1088"/>
      <c r="Z19" s="1088"/>
      <c r="AA19" s="1088"/>
      <c r="AB19" s="1088"/>
      <c r="AC19" s="1088"/>
      <c r="AD19" s="1088"/>
      <c r="AE19" s="1088"/>
      <c r="AF19" s="1088"/>
      <c r="AG19" s="1088"/>
      <c r="AH19" s="1088"/>
      <c r="AI19" s="1088"/>
      <c r="AJ19" s="1088"/>
      <c r="AK19" s="1088"/>
      <c r="AL19" s="1088"/>
      <c r="AM19" s="1088"/>
      <c r="AN19" s="1088"/>
      <c r="AO19" s="1088"/>
      <c r="AP19" s="1088"/>
      <c r="AQ19" s="1089"/>
      <c r="AR19" s="1061"/>
      <c r="AS19" s="1061"/>
      <c r="AT19" s="1061"/>
      <c r="AU19" s="1061"/>
      <c r="AV19" s="1061"/>
      <c r="AW19" s="1061"/>
      <c r="AX19" s="1061"/>
      <c r="AY19" s="1061"/>
      <c r="AZ19" s="1061"/>
      <c r="BA19" s="1061"/>
      <c r="BB19" s="1061"/>
      <c r="BC19" s="1061"/>
      <c r="BD19" s="1061"/>
      <c r="BE19" s="1061"/>
      <c r="BF19" s="1061"/>
      <c r="BG19" s="1061"/>
      <c r="BH19" s="1061"/>
      <c r="BI19" s="1061"/>
      <c r="BJ19" s="1061"/>
      <c r="BK19" s="1061"/>
      <c r="BL19" s="1061"/>
      <c r="BM19" s="1061"/>
      <c r="BN19" s="1061"/>
      <c r="BO19" s="1061"/>
      <c r="BP19" s="1061"/>
      <c r="BQ19" s="1061"/>
      <c r="BR19" s="1061"/>
      <c r="BS19" s="1061"/>
      <c r="BT19" s="1061"/>
      <c r="BU19" s="1061"/>
      <c r="BV19" s="1061"/>
      <c r="BW19" s="1061"/>
      <c r="BX19" s="1061"/>
      <c r="BY19" s="1061"/>
      <c r="BZ19" s="1061"/>
      <c r="CA19" s="1061"/>
      <c r="CB19" s="1061"/>
      <c r="CC19" s="1061"/>
    </row>
    <row r="20" spans="1:81" s="280" customFormat="1" ht="27" hidden="1" outlineLevel="1">
      <c r="A20" s="1079" t="s">
        <v>73</v>
      </c>
      <c r="B20" s="1080" t="s">
        <v>216</v>
      </c>
      <c r="C20" s="1080"/>
      <c r="D20" s="1081"/>
      <c r="E20" s="1081"/>
      <c r="F20" s="1081"/>
      <c r="G20" s="1081">
        <v>1.33</v>
      </c>
      <c r="H20" s="1081"/>
      <c r="I20" s="1081"/>
      <c r="J20" s="1081"/>
      <c r="K20" s="1081">
        <v>0.97</v>
      </c>
      <c r="L20" s="1081">
        <v>1</v>
      </c>
      <c r="M20" s="1081">
        <v>1.32</v>
      </c>
      <c r="N20" s="1081">
        <v>2</v>
      </c>
      <c r="O20" s="1081">
        <v>2</v>
      </c>
      <c r="P20" s="1081">
        <v>1</v>
      </c>
      <c r="Q20" s="1081">
        <v>3</v>
      </c>
      <c r="R20" s="1081">
        <v>2</v>
      </c>
      <c r="S20" s="1081">
        <v>0.9</v>
      </c>
      <c r="T20" s="1081">
        <v>0</v>
      </c>
      <c r="U20" s="1081">
        <v>0</v>
      </c>
      <c r="V20" s="1081">
        <v>1</v>
      </c>
      <c r="W20" s="1081">
        <v>5</v>
      </c>
      <c r="X20" s="1081">
        <v>1</v>
      </c>
      <c r="Y20" s="1088"/>
      <c r="Z20" s="1088"/>
      <c r="AA20" s="1088"/>
      <c r="AB20" s="1088"/>
      <c r="AC20" s="1088"/>
      <c r="AD20" s="1088"/>
      <c r="AE20" s="1088"/>
      <c r="AF20" s="1088"/>
      <c r="AG20" s="1088"/>
      <c r="AH20" s="1088"/>
      <c r="AI20" s="1088"/>
      <c r="AJ20" s="1088"/>
      <c r="AK20" s="1088"/>
      <c r="AL20" s="1088"/>
      <c r="AM20" s="1088"/>
      <c r="AN20" s="1088"/>
      <c r="AO20" s="1088"/>
      <c r="AP20" s="1088"/>
      <c r="AQ20" s="1089"/>
      <c r="AR20" s="1061"/>
      <c r="AS20" s="1061"/>
      <c r="AT20" s="1061"/>
      <c r="AU20" s="1061"/>
      <c r="AV20" s="1061"/>
      <c r="AW20" s="1061"/>
      <c r="AX20" s="1061"/>
      <c r="AY20" s="1061"/>
      <c r="AZ20" s="1061"/>
      <c r="BA20" s="1061"/>
      <c r="BB20" s="1061"/>
      <c r="BC20" s="1061"/>
      <c r="BD20" s="1061"/>
      <c r="BE20" s="1061"/>
      <c r="BF20" s="1061"/>
      <c r="BG20" s="1061"/>
      <c r="BH20" s="1061"/>
      <c r="BI20" s="1061"/>
      <c r="BJ20" s="1061"/>
      <c r="BK20" s="1061"/>
      <c r="BL20" s="1061"/>
      <c r="BM20" s="1061"/>
      <c r="BN20" s="1061"/>
      <c r="BO20" s="1061"/>
      <c r="BP20" s="1061"/>
      <c r="BQ20" s="1061"/>
      <c r="BR20" s="1061"/>
      <c r="BS20" s="1061"/>
      <c r="BT20" s="1061"/>
      <c r="BU20" s="1061"/>
      <c r="BV20" s="1061"/>
      <c r="BW20" s="1061"/>
      <c r="BX20" s="1061"/>
      <c r="BY20" s="1061"/>
      <c r="BZ20" s="1061"/>
      <c r="CA20" s="1061"/>
      <c r="CB20" s="1061"/>
      <c r="CC20" s="1061"/>
    </row>
    <row r="21" spans="1:81" s="280" customFormat="1" ht="13.5" hidden="1" outlineLevel="1">
      <c r="A21" s="1092" t="s">
        <v>527</v>
      </c>
      <c r="B21" s="1093" t="s">
        <v>536</v>
      </c>
      <c r="C21" s="1093"/>
      <c r="D21" s="1081">
        <v>-73.480999999999995</v>
      </c>
      <c r="E21" s="1081">
        <v>-90.727999999999994</v>
      </c>
      <c r="F21" s="1081">
        <v>-91.375</v>
      </c>
      <c r="G21" s="1081">
        <v>-142.37</v>
      </c>
      <c r="H21" s="1081">
        <v>-144.50299999999999</v>
      </c>
      <c r="I21" s="1081">
        <v>-142.244</v>
      </c>
      <c r="J21" s="1081">
        <v>-118.761</v>
      </c>
      <c r="K21" s="1081">
        <v>-118.285</v>
      </c>
      <c r="L21" s="1081">
        <v>-118.206</v>
      </c>
      <c r="M21" s="1081">
        <v>-116.465</v>
      </c>
      <c r="N21" s="1081">
        <v>-114</v>
      </c>
      <c r="O21" s="1081">
        <v>-109</v>
      </c>
      <c r="P21" s="1081">
        <v>-114</v>
      </c>
      <c r="Q21" s="1081">
        <v>-79</v>
      </c>
      <c r="R21" s="1081">
        <v>-86</v>
      </c>
      <c r="S21" s="1081">
        <v>-98</v>
      </c>
      <c r="T21" s="1081">
        <v>-118</v>
      </c>
      <c r="U21" s="1081">
        <v>-126</v>
      </c>
      <c r="V21" s="1081">
        <v>-123</v>
      </c>
      <c r="W21" s="1081">
        <v>-122</v>
      </c>
      <c r="X21" s="1081">
        <v>-130</v>
      </c>
      <c r="Y21" s="1088"/>
      <c r="Z21" s="1088"/>
      <c r="AA21" s="1088"/>
      <c r="AB21" s="1088"/>
      <c r="AC21" s="1088"/>
      <c r="AD21" s="1088"/>
      <c r="AE21" s="1088"/>
      <c r="AF21" s="1088">
        <v>0</v>
      </c>
      <c r="AG21" s="1088">
        <v>0</v>
      </c>
      <c r="AH21" s="1088">
        <v>0</v>
      </c>
      <c r="AI21" s="1088">
        <v>0</v>
      </c>
      <c r="AJ21" s="1088">
        <v>0</v>
      </c>
      <c r="AK21" s="1088">
        <v>0</v>
      </c>
      <c r="AL21" s="1088">
        <v>0</v>
      </c>
      <c r="AM21" s="1088">
        <v>0</v>
      </c>
      <c r="AN21" s="1088">
        <v>0</v>
      </c>
      <c r="AO21" s="1088">
        <v>0</v>
      </c>
      <c r="AP21" s="1088">
        <v>0</v>
      </c>
      <c r="AQ21" s="1089">
        <v>0</v>
      </c>
      <c r="AR21" s="1061"/>
      <c r="AS21" s="1061"/>
      <c r="AT21" s="1061"/>
      <c r="AU21" s="1061"/>
      <c r="AV21" s="1061"/>
      <c r="AW21" s="1061"/>
      <c r="AX21" s="1061"/>
      <c r="AY21" s="1061"/>
      <c r="AZ21" s="1061"/>
      <c r="BA21" s="1061"/>
      <c r="BB21" s="1061"/>
      <c r="BC21" s="1061"/>
      <c r="BD21" s="1061"/>
      <c r="BE21" s="1061"/>
      <c r="BF21" s="1061"/>
      <c r="BG21" s="1061"/>
      <c r="BH21" s="1061"/>
      <c r="BI21" s="1061"/>
      <c r="BJ21" s="1061"/>
      <c r="BK21" s="1061"/>
      <c r="BL21" s="1061"/>
      <c r="BM21" s="1061"/>
      <c r="BN21" s="1061"/>
      <c r="BO21" s="1061"/>
      <c r="BP21" s="1061"/>
      <c r="BQ21" s="1061"/>
      <c r="BR21" s="1061"/>
      <c r="BS21" s="1061"/>
      <c r="BT21" s="1061"/>
      <c r="BU21" s="1061"/>
      <c r="BV21" s="1061"/>
      <c r="BW21" s="1061"/>
      <c r="BX21" s="1061"/>
      <c r="BY21" s="1061"/>
      <c r="BZ21" s="1061"/>
      <c r="CA21" s="1061"/>
      <c r="CB21" s="1061"/>
      <c r="CC21" s="1061"/>
    </row>
    <row r="22" spans="1:81" s="278" customFormat="1" collapsed="1">
      <c r="A22" s="1094" t="s">
        <v>526</v>
      </c>
      <c r="B22" s="1095" t="s">
        <v>660</v>
      </c>
      <c r="C22" s="1095"/>
      <c r="D22" s="1077">
        <v>46.322000000000003</v>
      </c>
      <c r="E22" s="1077">
        <v>67.536000000000001</v>
      </c>
      <c r="F22" s="1077">
        <v>87.198999999999998</v>
      </c>
      <c r="G22" s="1077">
        <v>129.876</v>
      </c>
      <c r="H22" s="1077">
        <v>36.661999999999999</v>
      </c>
      <c r="I22" s="1077">
        <v>71.302999999999997</v>
      </c>
      <c r="J22" s="1077">
        <v>106.511</v>
      </c>
      <c r="K22" s="1077">
        <v>145.93</v>
      </c>
      <c r="L22" s="1077">
        <v>34.450000000000003</v>
      </c>
      <c r="M22" s="1077">
        <v>68.647000000000006</v>
      </c>
      <c r="N22" s="1077">
        <v>99</v>
      </c>
      <c r="O22" s="1077">
        <v>133</v>
      </c>
      <c r="P22" s="1077">
        <v>30.4</v>
      </c>
      <c r="Q22" s="1077">
        <v>60</v>
      </c>
      <c r="R22" s="1077">
        <v>93</v>
      </c>
      <c r="S22" s="1077">
        <v>129.6</v>
      </c>
      <c r="T22" s="1077">
        <v>38</v>
      </c>
      <c r="U22" s="1077">
        <v>82</v>
      </c>
      <c r="V22" s="1077">
        <v>122</v>
      </c>
      <c r="W22" s="1077">
        <v>154</v>
      </c>
      <c r="X22" s="1077">
        <v>189</v>
      </c>
      <c r="Y22" s="1096"/>
      <c r="Z22" s="1096"/>
      <c r="AA22" s="1096"/>
      <c r="AB22" s="1096"/>
      <c r="AC22" s="1096"/>
      <c r="AD22" s="1096"/>
      <c r="AE22" s="1096"/>
      <c r="AF22" s="1096"/>
      <c r="AG22" s="1096"/>
      <c r="AH22" s="1096"/>
      <c r="AI22" s="1096"/>
      <c r="AJ22" s="1096"/>
      <c r="AK22" s="1096"/>
      <c r="AL22" s="1096"/>
      <c r="AM22" s="1096"/>
      <c r="AN22" s="1096"/>
      <c r="AO22" s="1096"/>
      <c r="AP22" s="1096"/>
      <c r="AQ22" s="1097"/>
      <c r="AR22" s="1060"/>
      <c r="AS22" s="1060"/>
      <c r="AT22" s="1060"/>
      <c r="AU22" s="1060"/>
      <c r="AV22" s="1060"/>
      <c r="AW22" s="1060"/>
      <c r="AX22" s="1060"/>
      <c r="AY22" s="1060"/>
      <c r="AZ22" s="1060"/>
      <c r="BA22" s="1060"/>
      <c r="BB22" s="1060"/>
      <c r="BC22" s="1060"/>
      <c r="BD22" s="1060"/>
      <c r="BE22" s="1060"/>
      <c r="BF22" s="1060"/>
      <c r="BG22" s="1060"/>
      <c r="BH22" s="1060"/>
      <c r="BI22" s="1060"/>
      <c r="BJ22" s="1060"/>
      <c r="BK22" s="1060"/>
      <c r="BL22" s="1060"/>
      <c r="BM22" s="1060"/>
      <c r="BN22" s="1060"/>
      <c r="BO22" s="1060"/>
      <c r="BP22" s="1060"/>
      <c r="BQ22" s="1060"/>
      <c r="BR22" s="1060"/>
      <c r="BS22" s="1060"/>
      <c r="BT22" s="1060"/>
      <c r="BU22" s="1060"/>
      <c r="BV22" s="1060"/>
      <c r="BW22" s="1060"/>
      <c r="BX22" s="1060"/>
      <c r="BY22" s="1060"/>
      <c r="BZ22" s="1060"/>
      <c r="CA22" s="1060"/>
      <c r="CB22" s="1060"/>
      <c r="CC22" s="1060"/>
    </row>
    <row r="23" spans="1:81">
      <c r="A23" s="1094" t="s">
        <v>310</v>
      </c>
      <c r="B23" s="1095" t="s">
        <v>547</v>
      </c>
      <c r="C23" s="1095"/>
      <c r="D23" s="1098">
        <f t="shared" ref="D23:AQ23" si="2">D22+D17+D5</f>
        <v>13051.595000000001</v>
      </c>
      <c r="E23" s="1098">
        <f t="shared" si="2"/>
        <v>13041.573</v>
      </c>
      <c r="F23" s="1098">
        <f t="shared" si="2"/>
        <v>12959.358000000002</v>
      </c>
      <c r="G23" s="1098">
        <f t="shared" si="2"/>
        <v>17872.918000000001</v>
      </c>
      <c r="H23" s="1098">
        <f t="shared" si="2"/>
        <v>19027.407999999996</v>
      </c>
      <c r="I23" s="1098">
        <f t="shared" si="2"/>
        <v>17728.220999999998</v>
      </c>
      <c r="J23" s="1098">
        <f t="shared" si="2"/>
        <v>17729.028999999995</v>
      </c>
      <c r="K23" s="1098">
        <f t="shared" si="2"/>
        <v>17618.729999999996</v>
      </c>
      <c r="L23" s="1098">
        <f t="shared" si="2"/>
        <v>19333.651000000005</v>
      </c>
      <c r="M23" s="1098">
        <f t="shared" si="2"/>
        <v>18302.337999999996</v>
      </c>
      <c r="N23" s="1098">
        <f t="shared" si="2"/>
        <v>18356.5</v>
      </c>
      <c r="O23" s="1098">
        <f t="shared" si="2"/>
        <v>18343</v>
      </c>
      <c r="P23" s="1098">
        <f t="shared" si="2"/>
        <v>20489.400000000001</v>
      </c>
      <c r="Q23" s="1098">
        <f t="shared" si="2"/>
        <v>20601</v>
      </c>
      <c r="R23" s="1098">
        <f t="shared" si="2"/>
        <v>20568.216999999997</v>
      </c>
      <c r="S23" s="1098">
        <f t="shared" si="2"/>
        <v>20177.900000000001</v>
      </c>
      <c r="T23" s="1098">
        <f t="shared" si="2"/>
        <v>21836.199999999997</v>
      </c>
      <c r="U23" s="1098">
        <f t="shared" si="2"/>
        <v>21686</v>
      </c>
      <c r="V23" s="1098">
        <f t="shared" si="2"/>
        <v>21757</v>
      </c>
      <c r="W23" s="1098">
        <f t="shared" si="2"/>
        <v>21305.293000000001</v>
      </c>
      <c r="X23" s="1098">
        <f t="shared" si="2"/>
        <v>21312</v>
      </c>
      <c r="Y23" s="1098">
        <f t="shared" si="2"/>
        <v>23858.516</v>
      </c>
      <c r="Z23" s="1098">
        <f t="shared" si="2"/>
        <v>24907</v>
      </c>
      <c r="AA23" s="1098">
        <f t="shared" si="2"/>
        <v>24743</v>
      </c>
      <c r="AB23" s="1098">
        <f t="shared" si="2"/>
        <v>25419.391</v>
      </c>
      <c r="AC23" s="1098">
        <f t="shared" si="2"/>
        <v>27275.895</v>
      </c>
      <c r="AD23" s="1098">
        <f t="shared" si="2"/>
        <v>27286.207000000002</v>
      </c>
      <c r="AE23" s="1098">
        <f t="shared" si="2"/>
        <v>27091.208999999999</v>
      </c>
      <c r="AF23" s="1098">
        <f t="shared" si="2"/>
        <v>28582.910999999996</v>
      </c>
      <c r="AG23" s="1098">
        <f t="shared" si="2"/>
        <v>28332.378000000001</v>
      </c>
      <c r="AH23" s="1098">
        <f t="shared" si="2"/>
        <v>29517.9</v>
      </c>
      <c r="AI23" s="1098">
        <f t="shared" si="2"/>
        <v>30872.699999999997</v>
      </c>
      <c r="AJ23" s="1098">
        <f t="shared" si="2"/>
        <v>30272</v>
      </c>
      <c r="AK23" s="1098">
        <f t="shared" si="2"/>
        <v>31877</v>
      </c>
      <c r="AL23" s="1098">
        <f t="shared" si="2"/>
        <v>33197</v>
      </c>
      <c r="AM23" s="1098">
        <f t="shared" si="2"/>
        <v>34026</v>
      </c>
      <c r="AN23" s="1098">
        <f t="shared" si="2"/>
        <v>35459</v>
      </c>
      <c r="AO23" s="1098">
        <f t="shared" si="2"/>
        <v>35938</v>
      </c>
      <c r="AP23" s="1098">
        <f t="shared" si="2"/>
        <v>37222</v>
      </c>
      <c r="AQ23" s="1099">
        <f t="shared" si="2"/>
        <v>37850</v>
      </c>
    </row>
    <row r="24" spans="1:81" s="282" customFormat="1" ht="12">
      <c r="A24" s="1100"/>
      <c r="B24" s="1101"/>
      <c r="C24" s="1101"/>
      <c r="D24" s="1102"/>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03"/>
      <c r="AO24" s="1103"/>
      <c r="AP24" s="1103"/>
      <c r="AQ24" s="1104"/>
      <c r="AR24" s="1063"/>
      <c r="AS24" s="1063"/>
      <c r="AT24" s="1063"/>
      <c r="AU24" s="1063"/>
      <c r="AV24" s="1063"/>
      <c r="AW24" s="1063"/>
      <c r="AX24" s="1063"/>
      <c r="AY24" s="1063"/>
      <c r="AZ24" s="1063"/>
      <c r="BA24" s="1063"/>
      <c r="BB24" s="1063"/>
      <c r="BC24" s="1063"/>
      <c r="BD24" s="1063"/>
      <c r="BE24" s="1063"/>
      <c r="BF24" s="1063"/>
      <c r="BG24" s="1063"/>
      <c r="BH24" s="1063"/>
      <c r="BI24" s="1063"/>
      <c r="BJ24" s="1063"/>
      <c r="BK24" s="1063"/>
      <c r="BL24" s="1063"/>
      <c r="BM24" s="1063"/>
      <c r="BN24" s="1063"/>
      <c r="BO24" s="1063"/>
      <c r="BP24" s="1063"/>
      <c r="BQ24" s="1063"/>
      <c r="BR24" s="1063"/>
      <c r="BS24" s="1063"/>
      <c r="BT24" s="1063"/>
      <c r="BU24" s="1063"/>
      <c r="BV24" s="1063"/>
      <c r="BW24" s="1063"/>
      <c r="BX24" s="1063"/>
      <c r="BY24" s="1063"/>
      <c r="BZ24" s="1063"/>
      <c r="CA24" s="1063"/>
      <c r="CB24" s="1063"/>
      <c r="CC24" s="1063"/>
    </row>
    <row r="25" spans="1:81">
      <c r="A25" s="1105" t="s">
        <v>311</v>
      </c>
      <c r="B25" s="1106" t="s">
        <v>539</v>
      </c>
      <c r="C25" s="1106"/>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7"/>
      <c r="AN25" s="1107"/>
      <c r="AO25" s="1107"/>
      <c r="AP25" s="1107"/>
      <c r="AQ25" s="1108"/>
    </row>
    <row r="26" spans="1:81" s="280" customFormat="1" ht="13.5">
      <c r="A26" s="1109" t="s">
        <v>261</v>
      </c>
      <c r="B26" s="1110" t="s">
        <v>538</v>
      </c>
      <c r="C26" s="1110"/>
      <c r="D26" s="1081">
        <f>7915.897+163.337</f>
        <v>8079.2340000000004</v>
      </c>
      <c r="E26" s="1081">
        <v>8112.7939999999999</v>
      </c>
      <c r="F26" s="1081">
        <f>8188.687+90.17</f>
        <v>8278.857</v>
      </c>
      <c r="G26" s="1081">
        <v>8497.5</v>
      </c>
      <c r="H26" s="1081">
        <v>8676</v>
      </c>
      <c r="I26" s="1081">
        <v>9457.152</v>
      </c>
      <c r="J26" s="1081">
        <v>9555.9699999999993</v>
      </c>
      <c r="K26" s="1081">
        <v>9821.7099999999991</v>
      </c>
      <c r="L26" s="1081">
        <v>10071.32</v>
      </c>
      <c r="M26" s="1081">
        <v>10387</v>
      </c>
      <c r="N26" s="1081">
        <v>10691</v>
      </c>
      <c r="O26" s="1081">
        <v>10657</v>
      </c>
      <c r="P26" s="1081">
        <v>10575</v>
      </c>
      <c r="Q26" s="1081">
        <v>11256.9</v>
      </c>
      <c r="R26" s="1081">
        <v>11320.53</v>
      </c>
      <c r="S26" s="1081">
        <v>11371</v>
      </c>
      <c r="T26" s="1081">
        <v>11553</v>
      </c>
      <c r="U26" s="1081">
        <v>11668</v>
      </c>
      <c r="V26" s="1081">
        <v>11642</v>
      </c>
      <c r="W26" s="1081">
        <v>11594</v>
      </c>
      <c r="X26" s="1081">
        <v>11680</v>
      </c>
      <c r="Y26" s="1081">
        <v>14139.197</v>
      </c>
      <c r="Z26" s="1081">
        <v>14208</v>
      </c>
      <c r="AA26" s="1081">
        <v>13883</v>
      </c>
      <c r="AB26" s="1081">
        <v>14114</v>
      </c>
      <c r="AC26" s="1081">
        <v>14353</v>
      </c>
      <c r="AD26" s="1081">
        <v>13871</v>
      </c>
      <c r="AE26" s="1081">
        <v>13658</v>
      </c>
      <c r="AF26" s="1081">
        <v>13420</v>
      </c>
      <c r="AG26" s="1081">
        <v>13578.215</v>
      </c>
      <c r="AH26" s="1081">
        <v>13477</v>
      </c>
      <c r="AI26" s="1081">
        <v>14271.1</v>
      </c>
      <c r="AJ26" s="1081">
        <v>14173</v>
      </c>
      <c r="AK26" s="1081">
        <v>14008</v>
      </c>
      <c r="AL26" s="1081">
        <v>13843</v>
      </c>
      <c r="AM26" s="1081">
        <v>14499</v>
      </c>
      <c r="AN26" s="1081">
        <v>14786</v>
      </c>
      <c r="AO26" s="1081">
        <v>15234</v>
      </c>
      <c r="AP26" s="1081">
        <v>14889</v>
      </c>
      <c r="AQ26" s="1082">
        <v>14893</v>
      </c>
      <c r="AR26" s="1061"/>
      <c r="AS26" s="1061"/>
      <c r="AT26" s="1061"/>
      <c r="AU26" s="1061"/>
      <c r="AV26" s="1061"/>
      <c r="AW26" s="1061"/>
      <c r="AX26" s="1061"/>
      <c r="AY26" s="1061"/>
      <c r="AZ26" s="1061"/>
      <c r="BA26" s="1061"/>
      <c r="BB26" s="1061"/>
      <c r="BC26" s="1061"/>
      <c r="BD26" s="1061"/>
      <c r="BE26" s="1061"/>
      <c r="BF26" s="1061"/>
      <c r="BG26" s="1061"/>
      <c r="BH26" s="1061"/>
      <c r="BI26" s="1061"/>
      <c r="BJ26" s="1061"/>
      <c r="BK26" s="1061"/>
      <c r="BL26" s="1061"/>
      <c r="BM26" s="1061"/>
      <c r="BN26" s="1061"/>
      <c r="BO26" s="1061"/>
      <c r="BP26" s="1061"/>
      <c r="BQ26" s="1061"/>
      <c r="BR26" s="1061"/>
      <c r="BS26" s="1061"/>
      <c r="BT26" s="1061"/>
      <c r="BU26" s="1061"/>
      <c r="BV26" s="1061"/>
      <c r="BW26" s="1061"/>
      <c r="BX26" s="1061"/>
      <c r="BY26" s="1061"/>
      <c r="BZ26" s="1061"/>
      <c r="CA26" s="1061"/>
      <c r="CB26" s="1061"/>
      <c r="CC26" s="1061"/>
    </row>
    <row r="27" spans="1:81" s="280" customFormat="1" ht="13.5">
      <c r="A27" s="1111" t="s">
        <v>263</v>
      </c>
      <c r="B27" s="1112" t="s">
        <v>540</v>
      </c>
      <c r="C27" s="1112"/>
      <c r="D27" s="1081">
        <v>259.38299999999998</v>
      </c>
      <c r="E27" s="1081">
        <v>243.09700000000001</v>
      </c>
      <c r="F27" s="1081">
        <f>243.679</f>
        <v>243.679</v>
      </c>
      <c r="G27" s="1081">
        <v>204.148</v>
      </c>
      <c r="H27" s="1081">
        <v>278.72000000000003</v>
      </c>
      <c r="I27" s="1081">
        <v>415.12799999999999</v>
      </c>
      <c r="J27" s="1081">
        <v>447.887</v>
      </c>
      <c r="K27" s="1081">
        <v>422.154</v>
      </c>
      <c r="L27" s="1081">
        <v>385.45</v>
      </c>
      <c r="M27" s="1081">
        <v>404.27600000000001</v>
      </c>
      <c r="N27" s="1081">
        <v>403</v>
      </c>
      <c r="O27" s="1081">
        <v>355</v>
      </c>
      <c r="P27" s="1081">
        <v>354</v>
      </c>
      <c r="Q27" s="1081">
        <v>500.5</v>
      </c>
      <c r="R27" s="1081">
        <v>542.59799999999996</v>
      </c>
      <c r="S27" s="1081">
        <v>495</v>
      </c>
      <c r="T27" s="1081">
        <v>522</v>
      </c>
      <c r="U27" s="1081">
        <v>526</v>
      </c>
      <c r="V27" s="1081">
        <v>320</v>
      </c>
      <c r="W27" s="1081">
        <v>327</v>
      </c>
      <c r="X27" s="1081">
        <v>330</v>
      </c>
      <c r="Y27" s="1081">
        <v>338.173</v>
      </c>
      <c r="Z27" s="1081">
        <v>400</v>
      </c>
      <c r="AA27" s="1081">
        <v>585</v>
      </c>
      <c r="AB27" s="1081">
        <v>591</v>
      </c>
      <c r="AC27" s="1081">
        <v>592</v>
      </c>
      <c r="AD27" s="1081">
        <v>489</v>
      </c>
      <c r="AE27" s="1081">
        <v>485</v>
      </c>
      <c r="AF27" s="1081">
        <v>676</v>
      </c>
      <c r="AG27" s="1081">
        <v>630.21600000000001</v>
      </c>
      <c r="AH27" s="1081">
        <v>611</v>
      </c>
      <c r="AI27" s="1081">
        <v>651.1</v>
      </c>
      <c r="AJ27" s="1081">
        <v>648</v>
      </c>
      <c r="AK27" s="1081">
        <v>486</v>
      </c>
      <c r="AL27" s="1081">
        <v>500</v>
      </c>
      <c r="AM27" s="1081">
        <v>474</v>
      </c>
      <c r="AN27" s="1081">
        <v>433</v>
      </c>
      <c r="AO27" s="1081">
        <v>512</v>
      </c>
      <c r="AP27" s="1081">
        <v>521</v>
      </c>
      <c r="AQ27" s="1082">
        <v>472</v>
      </c>
      <c r="AR27" s="1061"/>
      <c r="AS27" s="1061"/>
      <c r="AT27" s="1061"/>
      <c r="AU27" s="1061"/>
      <c r="AV27" s="1061"/>
      <c r="AW27" s="1061"/>
      <c r="AX27" s="1061"/>
      <c r="AY27" s="1061"/>
      <c r="AZ27" s="1061"/>
      <c r="BA27" s="1061"/>
      <c r="BB27" s="1061"/>
      <c r="BC27" s="1061"/>
      <c r="BD27" s="1061"/>
      <c r="BE27" s="1061"/>
      <c r="BF27" s="1061"/>
      <c r="BG27" s="1061"/>
      <c r="BH27" s="1061"/>
      <c r="BI27" s="1061"/>
      <c r="BJ27" s="1061"/>
      <c r="BK27" s="1061"/>
      <c r="BL27" s="1061"/>
      <c r="BM27" s="1061"/>
      <c r="BN27" s="1061"/>
      <c r="BO27" s="1061"/>
      <c r="BP27" s="1061"/>
      <c r="BQ27" s="1061"/>
      <c r="BR27" s="1061"/>
      <c r="BS27" s="1061"/>
      <c r="BT27" s="1061"/>
      <c r="BU27" s="1061"/>
      <c r="BV27" s="1061"/>
      <c r="BW27" s="1061"/>
      <c r="BX27" s="1061"/>
      <c r="BY27" s="1061"/>
      <c r="BZ27" s="1061"/>
      <c r="CA27" s="1061"/>
      <c r="CB27" s="1061"/>
      <c r="CC27" s="1061"/>
    </row>
    <row r="28" spans="1:81" s="280" customFormat="1" ht="13.5">
      <c r="A28" s="1113" t="s">
        <v>264</v>
      </c>
      <c r="B28" s="1114" t="s">
        <v>558</v>
      </c>
      <c r="C28" s="1114"/>
      <c r="D28" s="1088"/>
      <c r="E28" s="1088"/>
      <c r="F28" s="1088"/>
      <c r="G28" s="1088"/>
      <c r="H28" s="1088"/>
      <c r="I28" s="1088"/>
      <c r="J28" s="1088"/>
      <c r="K28" s="1088"/>
      <c r="L28" s="1088"/>
      <c r="M28" s="1088"/>
      <c r="N28" s="1088"/>
      <c r="O28" s="1088"/>
      <c r="P28" s="1088"/>
      <c r="Q28" s="1088"/>
      <c r="R28" s="1088"/>
      <c r="S28" s="1088"/>
      <c r="T28" s="1088"/>
      <c r="U28" s="1088"/>
      <c r="V28" s="1088"/>
      <c r="W28" s="1088"/>
      <c r="X28" s="1088"/>
      <c r="Y28" s="1081">
        <v>209.178</v>
      </c>
      <c r="Z28" s="1081">
        <v>245</v>
      </c>
      <c r="AA28" s="1081">
        <v>43</v>
      </c>
      <c r="AB28" s="1081">
        <v>42</v>
      </c>
      <c r="AC28" s="1081">
        <v>32</v>
      </c>
      <c r="AD28" s="1081">
        <v>26</v>
      </c>
      <c r="AE28" s="1081">
        <v>31</v>
      </c>
      <c r="AF28" s="1081">
        <v>28</v>
      </c>
      <c r="AG28" s="1081">
        <v>35.823999999999998</v>
      </c>
      <c r="AH28" s="1081">
        <v>28</v>
      </c>
      <c r="AI28" s="1081">
        <v>47.1</v>
      </c>
      <c r="AJ28" s="1081">
        <v>28</v>
      </c>
      <c r="AK28" s="1081">
        <v>21</v>
      </c>
      <c r="AL28" s="1081">
        <v>31</v>
      </c>
      <c r="AM28" s="1081">
        <v>41</v>
      </c>
      <c r="AN28" s="1081">
        <v>47</v>
      </c>
      <c r="AO28" s="1081">
        <v>46</v>
      </c>
      <c r="AP28" s="1081">
        <v>43</v>
      </c>
      <c r="AQ28" s="1082">
        <v>25</v>
      </c>
      <c r="AR28" s="1061"/>
      <c r="AS28" s="1061"/>
      <c r="AT28" s="1061"/>
      <c r="AU28" s="1061"/>
      <c r="AV28" s="1061"/>
      <c r="AW28" s="1061"/>
      <c r="AX28" s="1061"/>
      <c r="AY28" s="1061"/>
      <c r="AZ28" s="1061"/>
      <c r="BA28" s="1061"/>
      <c r="BB28" s="1061"/>
      <c r="BC28" s="1061"/>
      <c r="BD28" s="1061"/>
      <c r="BE28" s="1061"/>
      <c r="BF28" s="1061"/>
      <c r="BG28" s="1061"/>
      <c r="BH28" s="1061"/>
      <c r="BI28" s="1061"/>
      <c r="BJ28" s="1061"/>
      <c r="BK28" s="1061"/>
      <c r="BL28" s="1061"/>
      <c r="BM28" s="1061"/>
      <c r="BN28" s="1061"/>
      <c r="BO28" s="1061"/>
      <c r="BP28" s="1061"/>
      <c r="BQ28" s="1061"/>
      <c r="BR28" s="1061"/>
      <c r="BS28" s="1061"/>
      <c r="BT28" s="1061"/>
      <c r="BU28" s="1061"/>
      <c r="BV28" s="1061"/>
      <c r="BW28" s="1061"/>
      <c r="BX28" s="1061"/>
      <c r="BY28" s="1061"/>
      <c r="BZ28" s="1061"/>
      <c r="CA28" s="1061"/>
      <c r="CB28" s="1061"/>
      <c r="CC28" s="1061"/>
    </row>
    <row r="29" spans="1:81" s="280" customFormat="1" ht="13.5">
      <c r="A29" s="1113" t="s">
        <v>265</v>
      </c>
      <c r="B29" s="1114" t="s">
        <v>559</v>
      </c>
      <c r="C29" s="1114"/>
      <c r="D29" s="1088"/>
      <c r="E29" s="1088"/>
      <c r="F29" s="1088"/>
      <c r="G29" s="1088"/>
      <c r="H29" s="1088"/>
      <c r="I29" s="1088"/>
      <c r="J29" s="1088"/>
      <c r="K29" s="1088"/>
      <c r="L29" s="1088"/>
      <c r="M29" s="1088"/>
      <c r="N29" s="1088"/>
      <c r="O29" s="1088"/>
      <c r="P29" s="1088"/>
      <c r="Q29" s="1088"/>
      <c r="R29" s="1088"/>
      <c r="S29" s="1088"/>
      <c r="T29" s="1088"/>
      <c r="U29" s="1088"/>
      <c r="V29" s="1088"/>
      <c r="W29" s="1088"/>
      <c r="X29" s="1088"/>
      <c r="Y29" s="1081">
        <v>9.3490000000000002</v>
      </c>
      <c r="Z29" s="1081">
        <v>14</v>
      </c>
      <c r="AA29" s="1088"/>
      <c r="AB29" s="1088"/>
      <c r="AC29" s="1088"/>
      <c r="AD29" s="1088"/>
      <c r="AE29" s="1088"/>
      <c r="AF29" s="1088"/>
      <c r="AG29" s="1088"/>
      <c r="AH29" s="1088"/>
      <c r="AI29" s="1088"/>
      <c r="AJ29" s="1088"/>
      <c r="AK29" s="1088"/>
      <c r="AL29" s="1088"/>
      <c r="AM29" s="1088"/>
      <c r="AN29" s="1088"/>
      <c r="AO29" s="1088"/>
      <c r="AP29" s="1088"/>
      <c r="AQ29" s="1089"/>
      <c r="AR29" s="1061"/>
      <c r="AS29" s="1061"/>
      <c r="AT29" s="1061"/>
      <c r="AU29" s="1061"/>
      <c r="AV29" s="1061"/>
      <c r="AW29" s="1061"/>
      <c r="AX29" s="1061"/>
      <c r="AY29" s="1061"/>
      <c r="AZ29" s="1061"/>
      <c r="BA29" s="1061"/>
      <c r="BB29" s="1061"/>
      <c r="BC29" s="1061"/>
      <c r="BD29" s="1061"/>
      <c r="BE29" s="1061"/>
      <c r="BF29" s="1061"/>
      <c r="BG29" s="1061"/>
      <c r="BH29" s="1061"/>
      <c r="BI29" s="1061"/>
      <c r="BJ29" s="1061"/>
      <c r="BK29" s="1061"/>
      <c r="BL29" s="1061"/>
      <c r="BM29" s="1061"/>
      <c r="BN29" s="1061"/>
      <c r="BO29" s="1061"/>
      <c r="BP29" s="1061"/>
      <c r="BQ29" s="1061"/>
      <c r="BR29" s="1061"/>
      <c r="BS29" s="1061"/>
      <c r="BT29" s="1061"/>
      <c r="BU29" s="1061"/>
      <c r="BV29" s="1061"/>
      <c r="BW29" s="1061"/>
      <c r="BX29" s="1061"/>
      <c r="BY29" s="1061"/>
      <c r="BZ29" s="1061"/>
      <c r="CA29" s="1061"/>
      <c r="CB29" s="1061"/>
      <c r="CC29" s="1061"/>
    </row>
    <row r="30" spans="1:81" s="280" customFormat="1" ht="13.5">
      <c r="A30" s="1111" t="s">
        <v>262</v>
      </c>
      <c r="B30" s="1112" t="s">
        <v>541</v>
      </c>
      <c r="C30" s="1112"/>
      <c r="D30" s="1081">
        <v>961.15300000000002</v>
      </c>
      <c r="E30" s="1081">
        <v>954.327</v>
      </c>
      <c r="F30" s="1081">
        <v>952.07</v>
      </c>
      <c r="G30" s="1081">
        <v>952.07500000000005</v>
      </c>
      <c r="H30" s="1081">
        <v>1057.922</v>
      </c>
      <c r="I30" s="1081">
        <v>1057.922</v>
      </c>
      <c r="J30" s="1081">
        <v>1057.922</v>
      </c>
      <c r="K30" s="1081">
        <v>1057.922</v>
      </c>
      <c r="L30" s="1081">
        <v>1104.8240000000001</v>
      </c>
      <c r="M30" s="1081">
        <v>852</v>
      </c>
      <c r="N30" s="1081">
        <v>852</v>
      </c>
      <c r="O30" s="1081">
        <v>852</v>
      </c>
      <c r="P30" s="1081">
        <v>913</v>
      </c>
      <c r="Q30" s="1081">
        <v>912.78700000000003</v>
      </c>
      <c r="R30" s="1081">
        <v>912.78700000000003</v>
      </c>
      <c r="S30" s="1081">
        <v>659</v>
      </c>
      <c r="T30" s="1081">
        <v>642</v>
      </c>
      <c r="U30" s="1081">
        <v>645</v>
      </c>
      <c r="V30" s="1081">
        <v>619</v>
      </c>
      <c r="W30" s="1081">
        <v>631</v>
      </c>
      <c r="X30" s="1081">
        <v>640</v>
      </c>
      <c r="Y30" s="1081">
        <v>791</v>
      </c>
      <c r="Z30" s="1081">
        <v>801</v>
      </c>
      <c r="AA30" s="1081">
        <v>759</v>
      </c>
      <c r="AB30" s="1081">
        <v>760</v>
      </c>
      <c r="AC30" s="1081">
        <v>744</v>
      </c>
      <c r="AD30" s="1081">
        <v>685</v>
      </c>
      <c r="AE30" s="1081">
        <v>663</v>
      </c>
      <c r="AF30" s="1081">
        <v>682</v>
      </c>
      <c r="AG30" s="1081">
        <v>653.976</v>
      </c>
      <c r="AH30" s="1081">
        <v>642</v>
      </c>
      <c r="AI30" s="1081">
        <v>656.4</v>
      </c>
      <c r="AJ30" s="1081">
        <v>678</v>
      </c>
      <c r="AK30" s="1081">
        <v>619</v>
      </c>
      <c r="AL30" s="1081">
        <v>649</v>
      </c>
      <c r="AM30" s="1081">
        <v>656</v>
      </c>
      <c r="AN30" s="1081">
        <v>685</v>
      </c>
      <c r="AO30" s="1081">
        <v>708</v>
      </c>
      <c r="AP30" s="1081">
        <v>724</v>
      </c>
      <c r="AQ30" s="1082">
        <v>645</v>
      </c>
      <c r="AR30" s="1061"/>
      <c r="AS30" s="1061"/>
      <c r="AT30" s="1061"/>
      <c r="AU30" s="1061"/>
      <c r="AV30" s="1061"/>
      <c r="AW30" s="1061"/>
      <c r="AX30" s="1061"/>
      <c r="AY30" s="1061"/>
      <c r="AZ30" s="1061"/>
      <c r="BA30" s="1061"/>
      <c r="BB30" s="1061"/>
      <c r="BC30" s="1061"/>
      <c r="BD30" s="1061"/>
      <c r="BE30" s="1061"/>
      <c r="BF30" s="1061"/>
      <c r="BG30" s="1061"/>
      <c r="BH30" s="1061"/>
      <c r="BI30" s="1061"/>
      <c r="BJ30" s="1061"/>
      <c r="BK30" s="1061"/>
      <c r="BL30" s="1061"/>
      <c r="BM30" s="1061"/>
      <c r="BN30" s="1061"/>
      <c r="BO30" s="1061"/>
      <c r="BP30" s="1061"/>
      <c r="BQ30" s="1061"/>
      <c r="BR30" s="1061"/>
      <c r="BS30" s="1061"/>
      <c r="BT30" s="1061"/>
      <c r="BU30" s="1061"/>
      <c r="BV30" s="1061"/>
      <c r="BW30" s="1061"/>
      <c r="BX30" s="1061"/>
      <c r="BY30" s="1061"/>
      <c r="BZ30" s="1061"/>
      <c r="CA30" s="1061"/>
      <c r="CB30" s="1061"/>
      <c r="CC30" s="1061"/>
    </row>
    <row r="31" spans="1:81" s="283" customFormat="1" ht="13.5">
      <c r="A31" s="1115" t="s">
        <v>312</v>
      </c>
      <c r="B31" s="1116" t="s">
        <v>544</v>
      </c>
      <c r="C31" s="1116"/>
      <c r="D31" s="1117">
        <f t="shared" ref="D31:AP31" si="3">D30+D29+D28+D27+D26</f>
        <v>9299.77</v>
      </c>
      <c r="E31" s="1117">
        <f t="shared" si="3"/>
        <v>9310.2180000000008</v>
      </c>
      <c r="F31" s="1117">
        <f t="shared" si="3"/>
        <v>9474.6059999999998</v>
      </c>
      <c r="G31" s="1117">
        <f t="shared" si="3"/>
        <v>9653.723</v>
      </c>
      <c r="H31" s="1117">
        <f t="shared" si="3"/>
        <v>10012.642</v>
      </c>
      <c r="I31" s="1117">
        <f t="shared" si="3"/>
        <v>10930.201999999999</v>
      </c>
      <c r="J31" s="1117">
        <f t="shared" si="3"/>
        <v>11061.778999999999</v>
      </c>
      <c r="K31" s="1117">
        <f t="shared" si="3"/>
        <v>11301.786</v>
      </c>
      <c r="L31" s="1117">
        <f t="shared" si="3"/>
        <v>11561.593999999999</v>
      </c>
      <c r="M31" s="1117">
        <f t="shared" si="3"/>
        <v>11643.276</v>
      </c>
      <c r="N31" s="1117">
        <f t="shared" si="3"/>
        <v>11946</v>
      </c>
      <c r="O31" s="1117">
        <f t="shared" si="3"/>
        <v>11864</v>
      </c>
      <c r="P31" s="1117">
        <f t="shared" si="3"/>
        <v>11842</v>
      </c>
      <c r="Q31" s="1117">
        <f t="shared" si="3"/>
        <v>12670.187</v>
      </c>
      <c r="R31" s="1117">
        <f t="shared" si="3"/>
        <v>12775.915000000001</v>
      </c>
      <c r="S31" s="1117">
        <f t="shared" si="3"/>
        <v>12525</v>
      </c>
      <c r="T31" s="1117">
        <f t="shared" si="3"/>
        <v>12717</v>
      </c>
      <c r="U31" s="1117">
        <f t="shared" si="3"/>
        <v>12839</v>
      </c>
      <c r="V31" s="1117">
        <f t="shared" si="3"/>
        <v>12581</v>
      </c>
      <c r="W31" s="1117">
        <f t="shared" si="3"/>
        <v>12552</v>
      </c>
      <c r="X31" s="1117">
        <f t="shared" si="3"/>
        <v>12650</v>
      </c>
      <c r="Y31" s="1117">
        <f t="shared" si="3"/>
        <v>15486.897000000001</v>
      </c>
      <c r="Z31" s="1117">
        <f t="shared" si="3"/>
        <v>15668</v>
      </c>
      <c r="AA31" s="1117">
        <f t="shared" si="3"/>
        <v>15270</v>
      </c>
      <c r="AB31" s="1117">
        <f t="shared" si="3"/>
        <v>15507</v>
      </c>
      <c r="AC31" s="1117">
        <f t="shared" si="3"/>
        <v>15721</v>
      </c>
      <c r="AD31" s="1117">
        <f t="shared" si="3"/>
        <v>15071</v>
      </c>
      <c r="AE31" s="1117">
        <f t="shared" si="3"/>
        <v>14837</v>
      </c>
      <c r="AF31" s="1117">
        <f t="shared" si="3"/>
        <v>14806</v>
      </c>
      <c r="AG31" s="1117">
        <f t="shared" si="3"/>
        <v>14898.231</v>
      </c>
      <c r="AH31" s="1117">
        <f t="shared" si="3"/>
        <v>14758</v>
      </c>
      <c r="AI31" s="1117">
        <f t="shared" si="3"/>
        <v>15625.7</v>
      </c>
      <c r="AJ31" s="1117">
        <f t="shared" si="3"/>
        <v>15527</v>
      </c>
      <c r="AK31" s="1117">
        <f t="shared" si="3"/>
        <v>15134</v>
      </c>
      <c r="AL31" s="1117">
        <f t="shared" si="3"/>
        <v>15023</v>
      </c>
      <c r="AM31" s="1117">
        <f t="shared" si="3"/>
        <v>15670</v>
      </c>
      <c r="AN31" s="1117">
        <f t="shared" si="3"/>
        <v>15951</v>
      </c>
      <c r="AO31" s="1117">
        <f t="shared" si="3"/>
        <v>16500</v>
      </c>
      <c r="AP31" s="1117">
        <f t="shared" si="3"/>
        <v>16177</v>
      </c>
      <c r="AQ31" s="1118">
        <f>AQ30+AQ29+AQ28+AQ27+AQ26</f>
        <v>16035</v>
      </c>
      <c r="AR31" s="1064"/>
      <c r="AS31" s="1064"/>
      <c r="AT31" s="1064"/>
      <c r="AU31" s="1064"/>
      <c r="AV31" s="1064"/>
      <c r="AW31" s="1064"/>
      <c r="AX31" s="1064"/>
      <c r="AY31" s="1064"/>
      <c r="AZ31" s="1064"/>
      <c r="BA31" s="1064"/>
      <c r="BB31" s="1064"/>
      <c r="BC31" s="1064"/>
      <c r="BD31" s="1064"/>
      <c r="BE31" s="1064"/>
      <c r="BF31" s="1064"/>
      <c r="BG31" s="1064"/>
      <c r="BH31" s="1064"/>
      <c r="BI31" s="1064"/>
      <c r="BJ31" s="1064"/>
      <c r="BK31" s="1064"/>
      <c r="BL31" s="1064"/>
      <c r="BM31" s="1064"/>
      <c r="BN31" s="1064"/>
      <c r="BO31" s="1064"/>
      <c r="BP31" s="1064"/>
      <c r="BQ31" s="1064"/>
      <c r="BR31" s="1064"/>
      <c r="BS31" s="1064"/>
      <c r="BT31" s="1064"/>
      <c r="BU31" s="1064"/>
      <c r="BV31" s="1064"/>
      <c r="BW31" s="1064"/>
      <c r="BX31" s="1064"/>
      <c r="BY31" s="1064"/>
      <c r="BZ31" s="1064"/>
      <c r="CA31" s="1064"/>
      <c r="CB31" s="1064"/>
      <c r="CC31" s="1064"/>
    </row>
    <row r="32" spans="1:81">
      <c r="A32" s="1119" t="s">
        <v>266</v>
      </c>
      <c r="B32" s="1120" t="s">
        <v>545</v>
      </c>
      <c r="C32" s="1120"/>
      <c r="D32" s="1121">
        <f t="shared" ref="D32:AP32" si="4">D23/(12.5*D31)</f>
        <v>0.11227456162894352</v>
      </c>
      <c r="E32" s="1121">
        <f t="shared" si="4"/>
        <v>0.11206245009515352</v>
      </c>
      <c r="F32" s="1121">
        <f t="shared" si="4"/>
        <v>0.10942393171811052</v>
      </c>
      <c r="G32" s="1121">
        <f t="shared" si="4"/>
        <v>0.14811212627501327</v>
      </c>
      <c r="H32" s="1121">
        <f t="shared" si="4"/>
        <v>0.15202707137636598</v>
      </c>
      <c r="I32" s="1121">
        <f t="shared" si="4"/>
        <v>0.12975585263657524</v>
      </c>
      <c r="J32" s="1121">
        <f t="shared" si="4"/>
        <v>0.12821828387639997</v>
      </c>
      <c r="K32" s="1121">
        <f t="shared" si="4"/>
        <v>0.12471466014309593</v>
      </c>
      <c r="L32" s="1121">
        <f t="shared" si="4"/>
        <v>0.13377844612083772</v>
      </c>
      <c r="M32" s="1121">
        <f t="shared" si="4"/>
        <v>0.12575387202021146</v>
      </c>
      <c r="N32" s="1121">
        <f t="shared" si="4"/>
        <v>0.12292985099614934</v>
      </c>
      <c r="O32" s="1121">
        <f t="shared" si="4"/>
        <v>0.12368846931894807</v>
      </c>
      <c r="P32" s="1121">
        <f t="shared" si="4"/>
        <v>0.13841851038675901</v>
      </c>
      <c r="Q32" s="1121">
        <f t="shared" si="4"/>
        <v>0.1300754282474284</v>
      </c>
      <c r="R32" s="1121">
        <f t="shared" si="4"/>
        <v>0.12879369970761387</v>
      </c>
      <c r="S32" s="1121">
        <f t="shared" si="4"/>
        <v>0.12888079840319361</v>
      </c>
      <c r="T32" s="1121">
        <f t="shared" si="4"/>
        <v>0.13736698906974915</v>
      </c>
      <c r="U32" s="1121">
        <f t="shared" si="4"/>
        <v>0.13512578861282032</v>
      </c>
      <c r="V32" s="1121">
        <f t="shared" si="4"/>
        <v>0.13834830299658216</v>
      </c>
      <c r="W32" s="1121">
        <f t="shared" si="4"/>
        <v>0.13578899298916508</v>
      </c>
      <c r="X32" s="1121">
        <f t="shared" si="4"/>
        <v>0.13477944664031621</v>
      </c>
      <c r="Y32" s="1121">
        <f t="shared" si="4"/>
        <v>0.12324491342584636</v>
      </c>
      <c r="Z32" s="1121">
        <f t="shared" si="4"/>
        <v>0.12717385754403882</v>
      </c>
      <c r="AA32" s="1121">
        <f t="shared" si="4"/>
        <v>0.12962933857236411</v>
      </c>
      <c r="AB32" s="1121">
        <f t="shared" si="4"/>
        <v>0.13113763332688463</v>
      </c>
      <c r="AC32" s="1121">
        <f t="shared" si="4"/>
        <v>0.13879979645060747</v>
      </c>
      <c r="AD32" s="1121">
        <f t="shared" si="4"/>
        <v>0.14484085727556234</v>
      </c>
      <c r="AE32" s="1121">
        <f t="shared" si="4"/>
        <v>0.14607378310979308</v>
      </c>
      <c r="AF32" s="1121">
        <f t="shared" si="4"/>
        <v>0.15443961096852626</v>
      </c>
      <c r="AG32" s="1121">
        <f t="shared" si="4"/>
        <v>0.15213821291937277</v>
      </c>
      <c r="AH32" s="1121">
        <f t="shared" si="4"/>
        <v>0.16001029949857706</v>
      </c>
      <c r="AI32" s="1121">
        <f t="shared" si="4"/>
        <v>0.15806114286079981</v>
      </c>
      <c r="AJ32" s="1121">
        <f t="shared" si="4"/>
        <v>0.1559708894184324</v>
      </c>
      <c r="AK32" s="1121">
        <f t="shared" si="4"/>
        <v>0.16850535218712831</v>
      </c>
      <c r="AL32" s="1121">
        <f t="shared" si="4"/>
        <v>0.17677960460627037</v>
      </c>
      <c r="AM32" s="1121">
        <f t="shared" si="4"/>
        <v>0.17371282705807276</v>
      </c>
      <c r="AN32" s="1121">
        <f t="shared" si="4"/>
        <v>0.17783963387875368</v>
      </c>
      <c r="AO32" s="1121">
        <f t="shared" si="4"/>
        <v>0.17424484848484847</v>
      </c>
      <c r="AP32" s="1121">
        <f t="shared" si="4"/>
        <v>0.18407368486122272</v>
      </c>
      <c r="AQ32" s="1122">
        <f>AQ23/(12.5*AQ31)</f>
        <v>0.18883691923916432</v>
      </c>
    </row>
    <row r="33" spans="1:81">
      <c r="A33" s="1119" t="s">
        <v>267</v>
      </c>
      <c r="B33" s="1120" t="s">
        <v>546</v>
      </c>
      <c r="C33" s="1120"/>
      <c r="D33" s="1121">
        <f t="shared" ref="D33:AQ33" si="5">D5/(12.5*D31)</f>
        <v>9.8738390304276349E-2</v>
      </c>
      <c r="E33" s="1121">
        <f t="shared" si="5"/>
        <v>9.8501109211406229E-2</v>
      </c>
      <c r="F33" s="1121">
        <f t="shared" si="5"/>
        <v>9.5749619562016636E-2</v>
      </c>
      <c r="G33" s="1121">
        <f t="shared" si="5"/>
        <v>0.13468862945414944</v>
      </c>
      <c r="H33" s="1121">
        <f t="shared" si="5"/>
        <v>0.13986329682015994</v>
      </c>
      <c r="I33" s="1121">
        <f t="shared" si="5"/>
        <v>0.11828486975812524</v>
      </c>
      <c r="J33" s="1121">
        <f t="shared" si="5"/>
        <v>0.11647152957946455</v>
      </c>
      <c r="K33" s="1121">
        <f t="shared" si="5"/>
        <v>0.11297509968778383</v>
      </c>
      <c r="L33" s="1121">
        <f t="shared" si="5"/>
        <v>0.12303293819174074</v>
      </c>
      <c r="M33" s="1121">
        <f t="shared" si="5"/>
        <v>0.11468632024182882</v>
      </c>
      <c r="N33" s="1121">
        <f t="shared" si="5"/>
        <v>0.11194039845973548</v>
      </c>
      <c r="O33" s="1121">
        <f t="shared" si="5"/>
        <v>0.11236682400539447</v>
      </c>
      <c r="P33" s="1121">
        <f t="shared" si="5"/>
        <v>0.12774193548387097</v>
      </c>
      <c r="Q33" s="1121">
        <f t="shared" si="5"/>
        <v>0.11978986576914769</v>
      </c>
      <c r="R33" s="1121">
        <f t="shared" si="5"/>
        <v>0.11851185296708688</v>
      </c>
      <c r="S33" s="1121">
        <f t="shared" si="5"/>
        <v>0.11800399201596806</v>
      </c>
      <c r="T33" s="1121">
        <f t="shared" si="5"/>
        <v>0.12752819061099313</v>
      </c>
      <c r="U33" s="1121">
        <f t="shared" si="5"/>
        <v>0.12512500973596075</v>
      </c>
      <c r="V33" s="1121">
        <f t="shared" si="5"/>
        <v>0.12789444400286146</v>
      </c>
      <c r="W33" s="1121">
        <f t="shared" si="5"/>
        <v>0.12499230720203952</v>
      </c>
      <c r="X33" s="1121">
        <f t="shared" si="5"/>
        <v>0.12391462450592886</v>
      </c>
      <c r="Y33" s="1121">
        <f t="shared" si="5"/>
        <v>0.11101263732818781</v>
      </c>
      <c r="Z33" s="1121">
        <f t="shared" si="5"/>
        <v>0.11504212407454685</v>
      </c>
      <c r="AA33" s="1121">
        <f t="shared" si="5"/>
        <v>0.11708185985592666</v>
      </c>
      <c r="AB33" s="1121">
        <f t="shared" si="5"/>
        <v>0.11835888824401883</v>
      </c>
      <c r="AC33" s="1121">
        <f t="shared" si="5"/>
        <v>0.12604742700846003</v>
      </c>
      <c r="AD33" s="1121">
        <f t="shared" si="5"/>
        <v>0.13173489217702875</v>
      </c>
      <c r="AE33" s="1121">
        <f t="shared" si="5"/>
        <v>0.13268563186628024</v>
      </c>
      <c r="AF33" s="1121">
        <f t="shared" si="5"/>
        <v>0.14106665405916519</v>
      </c>
      <c r="AG33" s="1121">
        <f t="shared" si="5"/>
        <v>0.13864936313579779</v>
      </c>
      <c r="AH33" s="1121">
        <f t="shared" si="5"/>
        <v>0.1465016939964765</v>
      </c>
      <c r="AI33" s="1121">
        <f t="shared" si="5"/>
        <v>0.14514396155052253</v>
      </c>
      <c r="AJ33" s="1121">
        <f t="shared" si="5"/>
        <v>0.14772203258839442</v>
      </c>
      <c r="AK33" s="1121">
        <f t="shared" si="5"/>
        <v>0.16004228888595215</v>
      </c>
      <c r="AL33" s="1121">
        <f t="shared" si="5"/>
        <v>0.16772681887772084</v>
      </c>
      <c r="AM33" s="1121">
        <f t="shared" si="5"/>
        <v>0.1650338225909381</v>
      </c>
      <c r="AN33" s="1121">
        <f t="shared" si="5"/>
        <v>0.16429816312456899</v>
      </c>
      <c r="AO33" s="1121">
        <f t="shared" si="5"/>
        <v>0.1611539393939394</v>
      </c>
      <c r="AP33" s="1121">
        <f t="shared" si="5"/>
        <v>0.17072139457254126</v>
      </c>
      <c r="AQ33" s="1122">
        <f t="shared" si="5"/>
        <v>0.17536638603055815</v>
      </c>
    </row>
    <row r="34" spans="1:81" ht="12" customHeight="1">
      <c r="A34" s="1123"/>
      <c r="B34" s="1124"/>
      <c r="C34" s="1124"/>
      <c r="D34" s="1125"/>
      <c r="E34" s="1125"/>
      <c r="F34" s="1125"/>
      <c r="G34" s="1125"/>
      <c r="H34" s="1125"/>
      <c r="I34" s="1125"/>
      <c r="J34" s="1125"/>
      <c r="K34" s="1125"/>
      <c r="L34" s="1125"/>
      <c r="M34" s="1125"/>
      <c r="N34" s="1125"/>
      <c r="O34" s="1125"/>
      <c r="P34" s="1125"/>
      <c r="Q34" s="1125"/>
      <c r="R34" s="1125"/>
      <c r="S34" s="1125"/>
      <c r="T34" s="1125"/>
      <c r="U34" s="1125"/>
      <c r="V34" s="1125"/>
      <c r="W34" s="1125"/>
      <c r="X34" s="1125"/>
      <c r="Y34" s="1125"/>
      <c r="Z34" s="1125"/>
      <c r="AA34" s="1125"/>
      <c r="AB34" s="1125"/>
      <c r="AC34" s="1125"/>
      <c r="AD34" s="1125"/>
      <c r="AE34" s="1125"/>
      <c r="AF34" s="1125"/>
      <c r="AG34" s="1125"/>
      <c r="AH34" s="1125"/>
      <c r="AI34" s="1125"/>
      <c r="AJ34" s="1125"/>
      <c r="AK34" s="1125"/>
      <c r="AL34" s="1125"/>
      <c r="AM34" s="1125"/>
      <c r="AN34" s="1125"/>
      <c r="AO34" s="1125"/>
      <c r="AP34" s="1125"/>
      <c r="AQ34" s="1108"/>
    </row>
    <row r="35" spans="1:81" ht="20.100000000000001" customHeight="1">
      <c r="A35" s="1072" t="s">
        <v>365</v>
      </c>
      <c r="B35" s="1073" t="s">
        <v>182</v>
      </c>
      <c r="C35" s="1073"/>
      <c r="D35" s="763" t="s">
        <v>304</v>
      </c>
      <c r="E35" s="763" t="s">
        <v>303</v>
      </c>
      <c r="F35" s="763" t="s">
        <v>302</v>
      </c>
      <c r="G35" s="763" t="s">
        <v>301</v>
      </c>
      <c r="H35" s="763" t="s">
        <v>297</v>
      </c>
      <c r="I35" s="763" t="s">
        <v>298</v>
      </c>
      <c r="J35" s="763" t="s">
        <v>299</v>
      </c>
      <c r="K35" s="763" t="s">
        <v>300</v>
      </c>
      <c r="L35" s="763" t="s">
        <v>296</v>
      </c>
      <c r="M35" s="763" t="s">
        <v>295</v>
      </c>
      <c r="N35" s="763" t="s">
        <v>294</v>
      </c>
      <c r="O35" s="763" t="s">
        <v>293</v>
      </c>
      <c r="P35" s="763" t="s">
        <v>292</v>
      </c>
      <c r="Q35" s="763" t="s">
        <v>291</v>
      </c>
      <c r="R35" s="763" t="s">
        <v>290</v>
      </c>
      <c r="S35" s="763" t="s">
        <v>289</v>
      </c>
      <c r="T35" s="763" t="s">
        <v>288</v>
      </c>
      <c r="U35" s="763" t="s">
        <v>287</v>
      </c>
      <c r="V35" s="763" t="s">
        <v>286</v>
      </c>
      <c r="W35" s="763" t="s">
        <v>285</v>
      </c>
      <c r="X35" s="763" t="s">
        <v>281</v>
      </c>
      <c r="Y35" s="763" t="s">
        <v>282</v>
      </c>
      <c r="Z35" s="763" t="s">
        <v>283</v>
      </c>
      <c r="AA35" s="763" t="s">
        <v>284</v>
      </c>
      <c r="AB35" s="763" t="s">
        <v>277</v>
      </c>
      <c r="AC35" s="763" t="s">
        <v>278</v>
      </c>
      <c r="AD35" s="763" t="s">
        <v>279</v>
      </c>
      <c r="AE35" s="763" t="s">
        <v>280</v>
      </c>
      <c r="AF35" s="763" t="s">
        <v>274</v>
      </c>
      <c r="AG35" s="763" t="s">
        <v>275</v>
      </c>
      <c r="AH35" s="763" t="s">
        <v>276</v>
      </c>
      <c r="AI35" s="763" t="s">
        <v>256</v>
      </c>
      <c r="AJ35" s="763" t="s">
        <v>273</v>
      </c>
      <c r="AK35" s="763" t="s">
        <v>272</v>
      </c>
      <c r="AL35" s="763" t="s">
        <v>255</v>
      </c>
      <c r="AM35" s="763" t="s">
        <v>271</v>
      </c>
      <c r="AN35" s="763" t="s">
        <v>270</v>
      </c>
      <c r="AO35" s="763" t="s">
        <v>269</v>
      </c>
      <c r="AP35" s="763" t="s">
        <v>268</v>
      </c>
      <c r="AQ35" s="1074" t="s">
        <v>565</v>
      </c>
    </row>
    <row r="36" spans="1:81">
      <c r="A36" s="1075" t="s">
        <v>528</v>
      </c>
      <c r="B36" s="1076" t="s">
        <v>533</v>
      </c>
      <c r="C36" s="1076"/>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3"/>
      <c r="AO36" s="763"/>
      <c r="AP36" s="763"/>
      <c r="AQ36" s="1074"/>
    </row>
    <row r="37" spans="1:81" s="278" customFormat="1">
      <c r="A37" s="1075" t="s">
        <v>306</v>
      </c>
      <c r="B37" s="1076" t="s">
        <v>532</v>
      </c>
      <c r="C37" s="1076"/>
      <c r="D37" s="1077">
        <f t="shared" ref="D37:AQ37" si="6">D38+D39+D41+D40+D42+D43+D45+D46</f>
        <v>10791.634</v>
      </c>
      <c r="E37" s="1077">
        <f t="shared" si="6"/>
        <v>10857.984999999999</v>
      </c>
      <c r="F37" s="1077">
        <f t="shared" si="6"/>
        <v>10810.171999999999</v>
      </c>
      <c r="G37" s="1077">
        <f t="shared" si="6"/>
        <v>15755.513000000001</v>
      </c>
      <c r="H37" s="1077">
        <f t="shared" si="6"/>
        <v>17041.735000000004</v>
      </c>
      <c r="I37" s="1077">
        <f t="shared" si="6"/>
        <v>15642.382000000003</v>
      </c>
      <c r="J37" s="1077">
        <f t="shared" si="6"/>
        <v>15627.678</v>
      </c>
      <c r="K37" s="1077">
        <f t="shared" si="6"/>
        <v>15449.742000000002</v>
      </c>
      <c r="L37" s="1077">
        <f t="shared" si="6"/>
        <v>17381.546000000002</v>
      </c>
      <c r="M37" s="1077">
        <f t="shared" si="6"/>
        <v>16306.241999999998</v>
      </c>
      <c r="N37" s="1077">
        <f t="shared" si="6"/>
        <v>16262.619999999999</v>
      </c>
      <c r="O37" s="1077">
        <f t="shared" si="6"/>
        <v>16224.620999999999</v>
      </c>
      <c r="P37" s="1077">
        <f t="shared" si="6"/>
        <v>18717.032999999999</v>
      </c>
      <c r="Q37" s="1077">
        <f t="shared" si="6"/>
        <v>18753.5</v>
      </c>
      <c r="R37" s="1077">
        <f t="shared" si="6"/>
        <v>18723.099999999999</v>
      </c>
      <c r="S37" s="1077">
        <f t="shared" si="6"/>
        <v>18345</v>
      </c>
      <c r="T37" s="1077">
        <f t="shared" si="6"/>
        <v>19965.245999999999</v>
      </c>
      <c r="U37" s="1077">
        <f t="shared" si="6"/>
        <v>19853</v>
      </c>
      <c r="V37" s="1077">
        <f t="shared" si="6"/>
        <v>19793.599999999999</v>
      </c>
      <c r="W37" s="1077">
        <f t="shared" si="6"/>
        <v>19347</v>
      </c>
      <c r="X37" s="1077">
        <f t="shared" si="6"/>
        <v>19396.364000000001</v>
      </c>
      <c r="Y37" s="1077">
        <f t="shared" si="6"/>
        <v>21573.592000000001</v>
      </c>
      <c r="Z37" s="1077">
        <f t="shared" si="6"/>
        <v>22617.800999999999</v>
      </c>
      <c r="AA37" s="1077">
        <f t="shared" si="6"/>
        <v>22559</v>
      </c>
      <c r="AB37" s="1077">
        <f t="shared" si="6"/>
        <v>23184</v>
      </c>
      <c r="AC37" s="1077">
        <f t="shared" si="6"/>
        <v>24805.535000000003</v>
      </c>
      <c r="AD37" s="1077">
        <f t="shared" si="6"/>
        <v>24858.42</v>
      </c>
      <c r="AE37" s="1077">
        <f t="shared" si="6"/>
        <v>24820.6</v>
      </c>
      <c r="AF37" s="1077">
        <f t="shared" si="6"/>
        <v>26338.65</v>
      </c>
      <c r="AG37" s="1077">
        <f t="shared" si="6"/>
        <v>25979.7</v>
      </c>
      <c r="AH37" s="1077">
        <f t="shared" si="6"/>
        <v>27210</v>
      </c>
      <c r="AI37" s="1077">
        <f t="shared" si="6"/>
        <v>28673.100000000006</v>
      </c>
      <c r="AJ37" s="1077">
        <f t="shared" si="6"/>
        <v>28965</v>
      </c>
      <c r="AK37" s="1077">
        <f t="shared" si="6"/>
        <v>30497</v>
      </c>
      <c r="AL37" s="1077">
        <f t="shared" si="6"/>
        <v>31729</v>
      </c>
      <c r="AM37" s="1077">
        <f t="shared" si="6"/>
        <v>32597</v>
      </c>
      <c r="AN37" s="1077">
        <f t="shared" si="6"/>
        <v>32929</v>
      </c>
      <c r="AO37" s="1077">
        <f t="shared" si="6"/>
        <v>33150</v>
      </c>
      <c r="AP37" s="1077">
        <f t="shared" si="6"/>
        <v>34507</v>
      </c>
      <c r="AQ37" s="1077">
        <f t="shared" si="6"/>
        <v>35070</v>
      </c>
      <c r="AR37" s="1060"/>
      <c r="AS37" s="1060"/>
      <c r="AT37" s="1060"/>
      <c r="AU37" s="1060"/>
      <c r="AV37" s="1060"/>
      <c r="AW37" s="1060"/>
      <c r="AX37" s="1060"/>
      <c r="AY37" s="1060"/>
      <c r="AZ37" s="1060"/>
      <c r="BA37" s="1060"/>
      <c r="BB37" s="1060"/>
      <c r="BC37" s="1060"/>
      <c r="BD37" s="1060"/>
      <c r="BE37" s="1060"/>
      <c r="BF37" s="1060"/>
      <c r="BG37" s="1060"/>
      <c r="BH37" s="1060"/>
      <c r="BI37" s="1060"/>
      <c r="BJ37" s="1060"/>
      <c r="BK37" s="1060"/>
      <c r="BL37" s="1060"/>
      <c r="BM37" s="1060"/>
      <c r="BN37" s="1060"/>
      <c r="BO37" s="1060"/>
      <c r="BP37" s="1060"/>
      <c r="BQ37" s="1060"/>
      <c r="BR37" s="1060"/>
      <c r="BS37" s="1060"/>
      <c r="BT37" s="1060"/>
      <c r="BU37" s="1060"/>
      <c r="BV37" s="1060"/>
      <c r="BW37" s="1060"/>
      <c r="BX37" s="1060"/>
      <c r="BY37" s="1060"/>
      <c r="BZ37" s="1060"/>
      <c r="CA37" s="1060"/>
      <c r="CB37" s="1060"/>
      <c r="CC37" s="1060"/>
    </row>
    <row r="38" spans="1:81" s="280" customFormat="1" ht="13.5" hidden="1" outlineLevel="1">
      <c r="A38" s="1079" t="s">
        <v>71</v>
      </c>
      <c r="B38" s="1080" t="s">
        <v>214</v>
      </c>
      <c r="C38" s="1080"/>
      <c r="D38" s="1081">
        <v>1000</v>
      </c>
      <c r="E38" s="1081">
        <v>1000</v>
      </c>
      <c r="F38" s="1081">
        <v>1000</v>
      </c>
      <c r="G38" s="1081">
        <v>1250</v>
      </c>
      <c r="H38" s="1081">
        <v>1250</v>
      </c>
      <c r="I38" s="1081">
        <v>1250</v>
      </c>
      <c r="J38" s="1081">
        <v>1250</v>
      </c>
      <c r="K38" s="1081">
        <v>1250</v>
      </c>
      <c r="L38" s="1081">
        <v>1250</v>
      </c>
      <c r="M38" s="1081">
        <v>1250</v>
      </c>
      <c r="N38" s="1081">
        <v>1250</v>
      </c>
      <c r="O38" s="1081">
        <v>1250</v>
      </c>
      <c r="P38" s="1081">
        <v>1250</v>
      </c>
      <c r="Q38" s="1081">
        <v>1250</v>
      </c>
      <c r="R38" s="1081">
        <v>1250</v>
      </c>
      <c r="S38" s="1081">
        <v>1250</v>
      </c>
      <c r="T38" s="1081">
        <v>1250</v>
      </c>
      <c r="U38" s="1081">
        <v>1250</v>
      </c>
      <c r="V38" s="1081">
        <v>1250</v>
      </c>
      <c r="W38" s="1081">
        <v>1250</v>
      </c>
      <c r="X38" s="1081">
        <v>1250</v>
      </c>
      <c r="Y38" s="1081">
        <v>1250</v>
      </c>
      <c r="Z38" s="1081">
        <v>1250</v>
      </c>
      <c r="AA38" s="1081">
        <v>1250</v>
      </c>
      <c r="AB38" s="1081">
        <v>1250</v>
      </c>
      <c r="AC38" s="1081">
        <v>1250</v>
      </c>
      <c r="AD38" s="1081">
        <v>1250</v>
      </c>
      <c r="AE38" s="1081">
        <v>1250</v>
      </c>
      <c r="AF38" s="1081">
        <v>1250</v>
      </c>
      <c r="AG38" s="1081">
        <v>1250</v>
      </c>
      <c r="AH38" s="1081">
        <v>1250</v>
      </c>
      <c r="AI38" s="1081">
        <v>1250</v>
      </c>
      <c r="AJ38" s="1081">
        <v>1250</v>
      </c>
      <c r="AK38" s="1081">
        <v>1250</v>
      </c>
      <c r="AL38" s="1081">
        <v>1250</v>
      </c>
      <c r="AM38" s="1081">
        <v>1250</v>
      </c>
      <c r="AN38" s="1081">
        <v>1250</v>
      </c>
      <c r="AO38" s="1081">
        <v>1250</v>
      </c>
      <c r="AP38" s="1081">
        <v>1250</v>
      </c>
      <c r="AQ38" s="1081">
        <v>1250</v>
      </c>
      <c r="AR38" s="1061"/>
      <c r="AS38" s="1061"/>
      <c r="AT38" s="1061"/>
      <c r="AU38" s="1061"/>
      <c r="AV38" s="1061"/>
      <c r="AW38" s="1061"/>
      <c r="AX38" s="1061"/>
      <c r="AY38" s="1061"/>
      <c r="AZ38" s="1061"/>
      <c r="BA38" s="1061"/>
      <c r="BB38" s="1061"/>
      <c r="BC38" s="1061"/>
      <c r="BD38" s="1061"/>
      <c r="BE38" s="1061"/>
      <c r="BF38" s="1061"/>
      <c r="BG38" s="1061"/>
      <c r="BH38" s="1061"/>
      <c r="BI38" s="1061"/>
      <c r="BJ38" s="1061"/>
      <c r="BK38" s="1061"/>
      <c r="BL38" s="1061"/>
      <c r="BM38" s="1061"/>
      <c r="BN38" s="1061"/>
      <c r="BO38" s="1061"/>
      <c r="BP38" s="1061"/>
      <c r="BQ38" s="1061"/>
      <c r="BR38" s="1061"/>
      <c r="BS38" s="1061"/>
      <c r="BT38" s="1061"/>
      <c r="BU38" s="1061"/>
      <c r="BV38" s="1061"/>
      <c r="BW38" s="1061"/>
      <c r="BX38" s="1061"/>
      <c r="BY38" s="1061"/>
      <c r="BZ38" s="1061"/>
      <c r="CA38" s="1061"/>
      <c r="CB38" s="1061"/>
      <c r="CC38" s="1061"/>
    </row>
    <row r="39" spans="1:81" s="280" customFormat="1" ht="13.5" hidden="1" outlineLevel="1">
      <c r="A39" s="1079" t="s">
        <v>257</v>
      </c>
      <c r="B39" s="1080" t="s">
        <v>534</v>
      </c>
      <c r="C39" s="1080"/>
      <c r="D39" s="1081">
        <v>10493</v>
      </c>
      <c r="E39" s="1081">
        <f>7216.986+3276.26</f>
        <v>10493.245999999999</v>
      </c>
      <c r="F39" s="1081">
        <f>7216.986+3276.26</f>
        <v>10493.245999999999</v>
      </c>
      <c r="G39" s="1081">
        <f>12048.11+3276.26</f>
        <v>15324.37</v>
      </c>
      <c r="H39" s="1081">
        <f>12048.11+3276.26</f>
        <v>15324.37</v>
      </c>
      <c r="I39" s="1081">
        <f>12048.11+3276.26</f>
        <v>15324.37</v>
      </c>
      <c r="J39" s="1081">
        <f>12048.11+3276.26</f>
        <v>15324.37</v>
      </c>
      <c r="K39" s="1081">
        <f>12098.11+3283.412</f>
        <v>15381.522000000001</v>
      </c>
      <c r="L39" s="1081">
        <f>12098+3283.412</f>
        <v>15381.412</v>
      </c>
      <c r="M39" s="1081">
        <f>12898.11+3319.62</f>
        <v>16217.73</v>
      </c>
      <c r="N39" s="1081">
        <f>12898+3319.62</f>
        <v>16217.619999999999</v>
      </c>
      <c r="O39" s="1081">
        <f>12898+3319.621</f>
        <v>16217.620999999999</v>
      </c>
      <c r="P39" s="1081">
        <f>12898+3320</f>
        <v>16218</v>
      </c>
      <c r="Q39" s="1081">
        <f>15198+3386</f>
        <v>18584</v>
      </c>
      <c r="R39" s="1081">
        <f>15198+3386</f>
        <v>18584</v>
      </c>
      <c r="S39" s="1081">
        <f>15198+3386</f>
        <v>18584</v>
      </c>
      <c r="T39" s="1081">
        <f>15198+3386</f>
        <v>18584</v>
      </c>
      <c r="U39" s="1081">
        <f>16598+3417</f>
        <v>20015</v>
      </c>
      <c r="V39" s="1081">
        <f>16598+3417</f>
        <v>20015</v>
      </c>
      <c r="W39" s="1081">
        <f>16598+3417</f>
        <v>20015</v>
      </c>
      <c r="X39" s="1081">
        <f>16598.111+3416.893</f>
        <v>20015.004000000001</v>
      </c>
      <c r="Y39" s="1081">
        <v>22040</v>
      </c>
      <c r="Z39" s="1081">
        <v>22040</v>
      </c>
      <c r="AA39" s="1081">
        <v>22040</v>
      </c>
      <c r="AB39" s="1081">
        <v>22040</v>
      </c>
      <c r="AC39" s="1081">
        <v>24002</v>
      </c>
      <c r="AD39" s="1081">
        <v>24002</v>
      </c>
      <c r="AE39" s="1081">
        <v>24002</v>
      </c>
      <c r="AF39" s="1081">
        <v>24002</v>
      </c>
      <c r="AG39" s="1081">
        <v>26573.4</v>
      </c>
      <c r="AH39" s="1081">
        <v>26573</v>
      </c>
      <c r="AI39" s="1081">
        <v>27823.4</v>
      </c>
      <c r="AJ39" s="1081">
        <v>27823</v>
      </c>
      <c r="AK39" s="1081">
        <v>30711</v>
      </c>
      <c r="AL39" s="1081">
        <v>30712</v>
      </c>
      <c r="AM39" s="1081">
        <v>30712</v>
      </c>
      <c r="AN39" s="1081">
        <v>30712</v>
      </c>
      <c r="AO39" s="1081">
        <v>32798</v>
      </c>
      <c r="AP39" s="1081">
        <v>32797</v>
      </c>
      <c r="AQ39" s="1081">
        <v>32797</v>
      </c>
      <c r="AR39" s="1061"/>
      <c r="AS39" s="1061"/>
      <c r="AT39" s="1061"/>
      <c r="AU39" s="1061"/>
      <c r="AV39" s="1061"/>
      <c r="AW39" s="1061"/>
      <c r="AX39" s="1061"/>
      <c r="AY39" s="1061"/>
      <c r="AZ39" s="1061"/>
      <c r="BA39" s="1061"/>
      <c r="BB39" s="1061"/>
      <c r="BC39" s="1061"/>
      <c r="BD39" s="1061"/>
      <c r="BE39" s="1061"/>
      <c r="BF39" s="1061"/>
      <c r="BG39" s="1061"/>
      <c r="BH39" s="1061"/>
      <c r="BI39" s="1061"/>
      <c r="BJ39" s="1061"/>
      <c r="BK39" s="1061"/>
      <c r="BL39" s="1061"/>
      <c r="BM39" s="1061"/>
      <c r="BN39" s="1061"/>
      <c r="BO39" s="1061"/>
      <c r="BP39" s="1061"/>
      <c r="BQ39" s="1061"/>
      <c r="BR39" s="1061"/>
      <c r="BS39" s="1061"/>
      <c r="BT39" s="1061"/>
      <c r="BU39" s="1061"/>
      <c r="BV39" s="1061"/>
      <c r="BW39" s="1061"/>
      <c r="BX39" s="1061"/>
      <c r="BY39" s="1061"/>
      <c r="BZ39" s="1061"/>
      <c r="CA39" s="1061"/>
      <c r="CB39" s="1061"/>
      <c r="CC39" s="1061"/>
    </row>
    <row r="40" spans="1:81" s="280" customFormat="1" ht="27" hidden="1" outlineLevel="1">
      <c r="A40" s="1079" t="s">
        <v>307</v>
      </c>
      <c r="B40" s="1080" t="s">
        <v>535</v>
      </c>
      <c r="C40" s="1080"/>
      <c r="D40" s="1081">
        <v>1070</v>
      </c>
      <c r="E40" s="1081">
        <v>1070</v>
      </c>
      <c r="F40" s="1081">
        <v>1070</v>
      </c>
      <c r="G40" s="1081">
        <v>1070</v>
      </c>
      <c r="H40" s="1081">
        <v>1070</v>
      </c>
      <c r="I40" s="1081">
        <v>1070</v>
      </c>
      <c r="J40" s="1081">
        <v>1070</v>
      </c>
      <c r="K40" s="1081">
        <v>1070</v>
      </c>
      <c r="L40" s="1081">
        <v>1070</v>
      </c>
      <c r="M40" s="1081">
        <v>1070</v>
      </c>
      <c r="N40" s="1081">
        <v>1070</v>
      </c>
      <c r="O40" s="1081">
        <v>1070</v>
      </c>
      <c r="P40" s="1081">
        <v>1070</v>
      </c>
      <c r="Q40" s="1081">
        <v>1070</v>
      </c>
      <c r="R40" s="1081">
        <v>1070</v>
      </c>
      <c r="S40" s="1081">
        <v>1070</v>
      </c>
      <c r="T40" s="1081">
        <v>1070</v>
      </c>
      <c r="U40" s="1081">
        <v>1070</v>
      </c>
      <c r="V40" s="1081">
        <v>1070</v>
      </c>
      <c r="W40" s="1081">
        <v>1070</v>
      </c>
      <c r="X40" s="1081">
        <v>1070</v>
      </c>
      <c r="Y40" s="1081">
        <v>1070</v>
      </c>
      <c r="Z40" s="1081">
        <v>1070</v>
      </c>
      <c r="AA40" s="1081">
        <v>1070</v>
      </c>
      <c r="AB40" s="1081">
        <v>1070</v>
      </c>
      <c r="AC40" s="1081">
        <v>1070</v>
      </c>
      <c r="AD40" s="1081">
        <v>1070</v>
      </c>
      <c r="AE40" s="1081">
        <v>1070</v>
      </c>
      <c r="AF40" s="1081">
        <v>1070</v>
      </c>
      <c r="AG40" s="1081">
        <v>1070</v>
      </c>
      <c r="AH40" s="1081">
        <v>1070</v>
      </c>
      <c r="AI40" s="1081">
        <v>1070</v>
      </c>
      <c r="AJ40" s="1081">
        <v>1070</v>
      </c>
      <c r="AK40" s="1081">
        <v>1070</v>
      </c>
      <c r="AL40" s="1081">
        <v>1070</v>
      </c>
      <c r="AM40" s="1081">
        <v>1070</v>
      </c>
      <c r="AN40" s="1081">
        <v>1070</v>
      </c>
      <c r="AO40" s="1081">
        <v>1070</v>
      </c>
      <c r="AP40" s="1081">
        <v>1070</v>
      </c>
      <c r="AQ40" s="1081">
        <v>1070</v>
      </c>
      <c r="AR40" s="1061"/>
      <c r="AS40" s="1061"/>
      <c r="AT40" s="1061"/>
      <c r="AU40" s="1061"/>
      <c r="AV40" s="1061"/>
      <c r="AW40" s="1061"/>
      <c r="AX40" s="1061"/>
      <c r="AY40" s="1061"/>
      <c r="AZ40" s="1061"/>
      <c r="BA40" s="1061"/>
      <c r="BB40" s="1061"/>
      <c r="BC40" s="1061"/>
      <c r="BD40" s="1061"/>
      <c r="BE40" s="1061"/>
      <c r="BF40" s="1061"/>
      <c r="BG40" s="1061"/>
      <c r="BH40" s="1061"/>
      <c r="BI40" s="1061"/>
      <c r="BJ40" s="1061"/>
      <c r="BK40" s="1061"/>
      <c r="BL40" s="1061"/>
      <c r="BM40" s="1061"/>
      <c r="BN40" s="1061"/>
      <c r="BO40" s="1061"/>
      <c r="BP40" s="1061"/>
      <c r="BQ40" s="1061"/>
      <c r="BR40" s="1061"/>
      <c r="BS40" s="1061"/>
      <c r="BT40" s="1061"/>
      <c r="BU40" s="1061"/>
      <c r="BV40" s="1061"/>
      <c r="BW40" s="1061"/>
      <c r="BX40" s="1061"/>
      <c r="BY40" s="1061"/>
      <c r="BZ40" s="1061"/>
      <c r="CA40" s="1061"/>
      <c r="CB40" s="1061"/>
      <c r="CC40" s="1061"/>
    </row>
    <row r="41" spans="1:81" s="280" customFormat="1" ht="13.5" hidden="1" outlineLevel="1">
      <c r="A41" s="1079" t="s">
        <v>529</v>
      </c>
      <c r="B41" s="1080" t="s">
        <v>551</v>
      </c>
      <c r="C41" s="1080"/>
      <c r="D41" s="1081"/>
      <c r="E41" s="1081"/>
      <c r="F41" s="1081"/>
      <c r="G41" s="1081"/>
      <c r="H41" s="1081"/>
      <c r="I41" s="1081"/>
      <c r="J41" s="1081"/>
      <c r="K41" s="1081"/>
      <c r="L41" s="1081"/>
      <c r="M41" s="1081"/>
      <c r="N41" s="1081"/>
      <c r="O41" s="1081"/>
      <c r="P41" s="1081"/>
      <c r="Q41" s="1081"/>
      <c r="R41" s="1081"/>
      <c r="S41" s="1081"/>
      <c r="T41" s="1081"/>
      <c r="U41" s="1081"/>
      <c r="V41" s="1081"/>
      <c r="W41" s="1081"/>
      <c r="X41" s="1081"/>
      <c r="Y41" s="1081">
        <v>-51</v>
      </c>
      <c r="Z41" s="1081">
        <v>-47</v>
      </c>
      <c r="AA41" s="1081">
        <v>-85</v>
      </c>
      <c r="AB41" s="1081">
        <v>4</v>
      </c>
      <c r="AC41" s="1081">
        <v>-189.26400000000001</v>
      </c>
      <c r="AD41" s="1081">
        <v>-199</v>
      </c>
      <c r="AE41" s="1081">
        <v>74.5</v>
      </c>
      <c r="AF41" s="1081">
        <v>217.65</v>
      </c>
      <c r="AG41" s="1081">
        <v>-94.7</v>
      </c>
      <c r="AH41" s="1081">
        <v>-117</v>
      </c>
      <c r="AI41" s="1081">
        <v>-442.1</v>
      </c>
      <c r="AJ41" s="1081">
        <v>-228</v>
      </c>
      <c r="AK41" s="1081">
        <v>-59</v>
      </c>
      <c r="AL41" s="1081">
        <v>69</v>
      </c>
      <c r="AM41" s="1081">
        <v>182</v>
      </c>
      <c r="AN41" s="1081">
        <v>217</v>
      </c>
      <c r="AO41" s="1081">
        <v>163</v>
      </c>
      <c r="AP41" s="1081">
        <v>155</v>
      </c>
      <c r="AQ41" s="1081">
        <v>443</v>
      </c>
      <c r="AR41" s="1061"/>
      <c r="AS41" s="1061"/>
      <c r="AT41" s="1061"/>
      <c r="AU41" s="1061"/>
      <c r="AV41" s="1061"/>
      <c r="AW41" s="1061"/>
      <c r="AX41" s="1061"/>
      <c r="AY41" s="1061"/>
      <c r="AZ41" s="1061"/>
      <c r="BA41" s="1061"/>
      <c r="BB41" s="1061"/>
      <c r="BC41" s="1061"/>
      <c r="BD41" s="1061"/>
      <c r="BE41" s="1061"/>
      <c r="BF41" s="1061"/>
      <c r="BG41" s="1061"/>
      <c r="BH41" s="1061"/>
      <c r="BI41" s="1061"/>
      <c r="BJ41" s="1061"/>
      <c r="BK41" s="1061"/>
      <c r="BL41" s="1061"/>
      <c r="BM41" s="1061"/>
      <c r="BN41" s="1061"/>
      <c r="BO41" s="1061"/>
      <c r="BP41" s="1061"/>
      <c r="BQ41" s="1061"/>
      <c r="BR41" s="1061"/>
      <c r="BS41" s="1061"/>
      <c r="BT41" s="1061"/>
      <c r="BU41" s="1061"/>
      <c r="BV41" s="1061"/>
      <c r="BW41" s="1061"/>
      <c r="BX41" s="1061"/>
      <c r="BY41" s="1061"/>
      <c r="BZ41" s="1061"/>
      <c r="CA41" s="1061"/>
      <c r="CB41" s="1061"/>
      <c r="CC41" s="1061"/>
    </row>
    <row r="42" spans="1:81" s="280" customFormat="1" ht="13.5" hidden="1" outlineLevel="1">
      <c r="A42" s="1079" t="s">
        <v>769</v>
      </c>
      <c r="B42" s="1080" t="s">
        <v>549</v>
      </c>
      <c r="C42" s="1080"/>
      <c r="D42" s="1126">
        <f>1000-1000</f>
        <v>0</v>
      </c>
      <c r="E42" s="1081"/>
      <c r="F42" s="1081"/>
      <c r="G42" s="1081">
        <v>0</v>
      </c>
      <c r="H42" s="1081">
        <v>1432.152</v>
      </c>
      <c r="I42" s="1081">
        <v>57</v>
      </c>
      <c r="J42" s="1081">
        <v>57.152000000000001</v>
      </c>
      <c r="K42" s="1081"/>
      <c r="L42" s="1081">
        <v>1936.2090000000001</v>
      </c>
      <c r="M42" s="1081"/>
      <c r="N42" s="1081"/>
      <c r="O42" s="1081"/>
      <c r="P42" s="1081">
        <v>2453</v>
      </c>
      <c r="Q42" s="1081">
        <v>88.5</v>
      </c>
      <c r="R42" s="1081">
        <v>88.5</v>
      </c>
      <c r="S42" s="1081">
        <v>-225</v>
      </c>
      <c r="T42" s="1081">
        <v>1431</v>
      </c>
      <c r="U42" s="1081">
        <v>0</v>
      </c>
      <c r="V42" s="1081">
        <v>0</v>
      </c>
      <c r="W42" s="1081">
        <v>-271</v>
      </c>
      <c r="X42" s="1081">
        <v>-271.24</v>
      </c>
      <c r="Y42" s="1081"/>
      <c r="Z42" s="1081">
        <v>1004</v>
      </c>
      <c r="AA42" s="1081">
        <v>1004</v>
      </c>
      <c r="AB42" s="1081">
        <v>1443</v>
      </c>
      <c r="AC42" s="1081">
        <v>1250</v>
      </c>
      <c r="AD42" s="1081">
        <v>1250</v>
      </c>
      <c r="AE42" s="1081">
        <v>1250</v>
      </c>
      <c r="AF42" s="1081">
        <v>2745</v>
      </c>
      <c r="AG42" s="1081">
        <v>0</v>
      </c>
      <c r="AH42" s="1081">
        <v>1151</v>
      </c>
      <c r="AI42" s="1081">
        <v>1589</v>
      </c>
      <c r="AJ42" s="1081">
        <v>1589</v>
      </c>
      <c r="AK42" s="1081">
        <v>0</v>
      </c>
      <c r="AL42" s="1081">
        <v>1118</v>
      </c>
      <c r="AM42" s="1081">
        <v>1822</v>
      </c>
      <c r="AN42" s="1081">
        <v>1939</v>
      </c>
      <c r="AO42" s="1081">
        <v>117</v>
      </c>
      <c r="AP42" s="1081">
        <v>1436</v>
      </c>
      <c r="AQ42" s="1081">
        <v>1944</v>
      </c>
      <c r="AR42" s="1061"/>
      <c r="AS42" s="1061"/>
      <c r="AT42" s="1061"/>
      <c r="AU42" s="1061"/>
      <c r="AV42" s="1061"/>
      <c r="AW42" s="1061"/>
      <c r="AX42" s="1061"/>
      <c r="AY42" s="1061"/>
      <c r="AZ42" s="1061"/>
      <c r="BA42" s="1061"/>
      <c r="BB42" s="1061"/>
      <c r="BC42" s="1061"/>
      <c r="BD42" s="1061"/>
      <c r="BE42" s="1061"/>
      <c r="BF42" s="1061"/>
      <c r="BG42" s="1061"/>
      <c r="BH42" s="1061"/>
      <c r="BI42" s="1061"/>
      <c r="BJ42" s="1061"/>
      <c r="BK42" s="1061"/>
      <c r="BL42" s="1061"/>
      <c r="BM42" s="1061"/>
      <c r="BN42" s="1061"/>
      <c r="BO42" s="1061"/>
      <c r="BP42" s="1061"/>
      <c r="BQ42" s="1061"/>
      <c r="BR42" s="1061"/>
      <c r="BS42" s="1061"/>
      <c r="BT42" s="1061"/>
      <c r="BU42" s="1061"/>
      <c r="BV42" s="1061"/>
      <c r="BW42" s="1061"/>
      <c r="BX42" s="1061"/>
      <c r="BY42" s="1061"/>
      <c r="BZ42" s="1061"/>
      <c r="CA42" s="1061"/>
      <c r="CB42" s="1061"/>
      <c r="CC42" s="1061"/>
    </row>
    <row r="43" spans="1:81" s="280" customFormat="1" ht="13.5" hidden="1" outlineLevel="1">
      <c r="A43" s="1079" t="s">
        <v>564</v>
      </c>
      <c r="B43" s="1080" t="s">
        <v>197</v>
      </c>
      <c r="C43" s="1080"/>
      <c r="D43" s="1081">
        <v>-1236.537</v>
      </c>
      <c r="E43" s="1081">
        <v>-1228.143</v>
      </c>
      <c r="F43" s="1081">
        <v>-1272.76</v>
      </c>
      <c r="G43" s="1081">
        <v>-1268.78</v>
      </c>
      <c r="H43" s="1081">
        <v>-1313.72</v>
      </c>
      <c r="I43" s="1081">
        <v>-1320.838</v>
      </c>
      <c r="J43" s="1081">
        <v>-1337.963</v>
      </c>
      <c r="K43" s="1081">
        <v>-1528.2670000000001</v>
      </c>
      <c r="L43" s="1081">
        <v>-1511.973</v>
      </c>
      <c r="M43" s="1081">
        <v>-1508.739</v>
      </c>
      <c r="N43" s="1081">
        <v>-1508</v>
      </c>
      <c r="O43" s="1081">
        <v>-1523</v>
      </c>
      <c r="P43" s="1081">
        <v>-1525</v>
      </c>
      <c r="Q43" s="1081">
        <v>-1502</v>
      </c>
      <c r="R43" s="1081">
        <v>-1536</v>
      </c>
      <c r="S43" s="1081">
        <v>-1681</v>
      </c>
      <c r="T43" s="1081">
        <v>-1665</v>
      </c>
      <c r="U43" s="1081">
        <v>-1669</v>
      </c>
      <c r="V43" s="1081">
        <v>-1659</v>
      </c>
      <c r="W43" s="1081">
        <v>-1944</v>
      </c>
      <c r="X43" s="1081">
        <v>-1897.135</v>
      </c>
      <c r="Y43" s="1081">
        <f>-7.785-1629.623</f>
        <v>-1637.4080000000001</v>
      </c>
      <c r="Z43" s="1081">
        <f>-7.785-1629.728</f>
        <v>-1637.5130000000001</v>
      </c>
      <c r="AA43" s="1081">
        <f>-871-1765</f>
        <v>-2636</v>
      </c>
      <c r="AB43" s="1081">
        <f>-871-1672</f>
        <v>-2543</v>
      </c>
      <c r="AC43" s="1081">
        <f>-871-1626.374</f>
        <v>-2497.3739999999998</v>
      </c>
      <c r="AD43" s="1081">
        <f>-871-1565</f>
        <v>-2436</v>
      </c>
      <c r="AE43" s="1081">
        <f>-871-1655</f>
        <v>-2526</v>
      </c>
      <c r="AF43" s="1081">
        <f>-871-1762</f>
        <v>-2633</v>
      </c>
      <c r="AG43" s="1081">
        <f>-871-1697</f>
        <v>-2568</v>
      </c>
      <c r="AH43" s="1081">
        <f>-871-1658</f>
        <v>-2529</v>
      </c>
      <c r="AI43" s="1081">
        <f>-871-1693.6</f>
        <v>-2564.6</v>
      </c>
      <c r="AJ43" s="1081">
        <f>-871-1612</f>
        <v>-2483</v>
      </c>
      <c r="AK43" s="1081">
        <f>-871-1549</f>
        <v>-2420</v>
      </c>
      <c r="AL43" s="1081">
        <f>-871-1496</f>
        <v>-2367</v>
      </c>
      <c r="AM43" s="1081">
        <f>-871-1509</f>
        <v>-2380</v>
      </c>
      <c r="AN43" s="1081">
        <f>-871-1437</f>
        <v>-2308</v>
      </c>
      <c r="AO43" s="1081">
        <f>-871-1401</f>
        <v>-2272</v>
      </c>
      <c r="AP43" s="1081">
        <f>-1380-871</f>
        <v>-2251</v>
      </c>
      <c r="AQ43" s="1081">
        <f>-871-1503</f>
        <v>-2374</v>
      </c>
      <c r="AR43" s="1061"/>
      <c r="AS43" s="1061"/>
      <c r="AT43" s="1061"/>
      <c r="AU43" s="1061"/>
      <c r="AV43" s="1061"/>
      <c r="AW43" s="1061"/>
      <c r="AX43" s="1061"/>
      <c r="AY43" s="1061"/>
      <c r="AZ43" s="1061"/>
      <c r="BA43" s="1061"/>
      <c r="BB43" s="1061"/>
      <c r="BC43" s="1061"/>
      <c r="BD43" s="1061"/>
      <c r="BE43" s="1061"/>
      <c r="BF43" s="1061"/>
      <c r="BG43" s="1061"/>
      <c r="BH43" s="1061"/>
      <c r="BI43" s="1061"/>
      <c r="BJ43" s="1061"/>
      <c r="BK43" s="1061"/>
      <c r="BL43" s="1061"/>
      <c r="BM43" s="1061"/>
      <c r="BN43" s="1061"/>
      <c r="BO43" s="1061"/>
      <c r="BP43" s="1061"/>
      <c r="BQ43" s="1061"/>
      <c r="BR43" s="1061"/>
      <c r="BS43" s="1061"/>
      <c r="BT43" s="1061"/>
      <c r="BU43" s="1061"/>
      <c r="BV43" s="1061"/>
      <c r="BW43" s="1061"/>
      <c r="BX43" s="1061"/>
      <c r="BY43" s="1061"/>
      <c r="BZ43" s="1061"/>
      <c r="CA43" s="1061"/>
      <c r="CB43" s="1061"/>
      <c r="CC43" s="1061"/>
    </row>
    <row r="44" spans="1:81" s="281" customFormat="1" ht="13.5" hidden="1" outlineLevel="1">
      <c r="A44" s="1127" t="s">
        <v>562</v>
      </c>
      <c r="B44" s="1085" t="s">
        <v>552</v>
      </c>
      <c r="C44" s="1085"/>
      <c r="D44" s="1086"/>
      <c r="E44" s="1086">
        <v>0</v>
      </c>
      <c r="F44" s="1086">
        <v>0</v>
      </c>
      <c r="G44" s="1086">
        <v>0</v>
      </c>
      <c r="H44" s="1086">
        <v>0</v>
      </c>
      <c r="I44" s="1086">
        <v>0</v>
      </c>
      <c r="J44" s="1086">
        <v>0</v>
      </c>
      <c r="K44" s="1086">
        <v>0</v>
      </c>
      <c r="L44" s="1086">
        <v>0</v>
      </c>
      <c r="M44" s="1086">
        <v>0</v>
      </c>
      <c r="N44" s="1086"/>
      <c r="O44" s="1086">
        <v>0</v>
      </c>
      <c r="P44" s="1086">
        <v>-8</v>
      </c>
      <c r="Q44" s="1086">
        <v>-8</v>
      </c>
      <c r="R44" s="1086">
        <v>-8</v>
      </c>
      <c r="S44" s="1086">
        <v>-8</v>
      </c>
      <c r="T44" s="1086">
        <v>-8</v>
      </c>
      <c r="U44" s="1086">
        <v>-8</v>
      </c>
      <c r="V44" s="1086">
        <v>-8</v>
      </c>
      <c r="W44" s="1086">
        <v>-8</v>
      </c>
      <c r="X44" s="1086">
        <v>-8</v>
      </c>
      <c r="Y44" s="1086">
        <v>-8</v>
      </c>
      <c r="Z44" s="1086">
        <v>-8</v>
      </c>
      <c r="AA44" s="1086">
        <v>-871</v>
      </c>
      <c r="AB44" s="1086">
        <v>-871</v>
      </c>
      <c r="AC44" s="1086">
        <v>-871</v>
      </c>
      <c r="AD44" s="1086">
        <v>-871</v>
      </c>
      <c r="AE44" s="1086">
        <v>-871</v>
      </c>
      <c r="AF44" s="1086">
        <v>-871</v>
      </c>
      <c r="AG44" s="1086">
        <v>-871</v>
      </c>
      <c r="AH44" s="1086">
        <v>-871</v>
      </c>
      <c r="AI44" s="1086">
        <v>-871</v>
      </c>
      <c r="AJ44" s="1086">
        <v>-871</v>
      </c>
      <c r="AK44" s="1086">
        <v>-871</v>
      </c>
      <c r="AL44" s="1086">
        <v>-871</v>
      </c>
      <c r="AM44" s="1086">
        <v>-871</v>
      </c>
      <c r="AN44" s="1086">
        <v>-871</v>
      </c>
      <c r="AO44" s="1086">
        <v>-871</v>
      </c>
      <c r="AP44" s="1086">
        <v>-871</v>
      </c>
      <c r="AQ44" s="1086">
        <v>-871</v>
      </c>
      <c r="AR44" s="1062"/>
      <c r="AS44" s="1062"/>
      <c r="AT44" s="1062"/>
      <c r="AU44" s="1062"/>
      <c r="AV44" s="1062"/>
      <c r="AW44" s="1062"/>
      <c r="AX44" s="1062"/>
      <c r="AY44" s="1062"/>
      <c r="AZ44" s="1062"/>
      <c r="BA44" s="1062"/>
      <c r="BB44" s="1062"/>
      <c r="BC44" s="1062"/>
      <c r="BD44" s="1062"/>
      <c r="BE44" s="1062"/>
      <c r="BF44" s="1062"/>
      <c r="BG44" s="1062"/>
      <c r="BH44" s="1062"/>
      <c r="BI44" s="1062"/>
      <c r="BJ44" s="1062"/>
      <c r="BK44" s="1062"/>
      <c r="BL44" s="1062"/>
      <c r="BM44" s="1062"/>
      <c r="BN44" s="1062"/>
      <c r="BO44" s="1062"/>
      <c r="BP44" s="1062"/>
      <c r="BQ44" s="1062"/>
      <c r="BR44" s="1062"/>
      <c r="BS44" s="1062"/>
      <c r="BT44" s="1062"/>
      <c r="BU44" s="1062"/>
      <c r="BV44" s="1062"/>
      <c r="BW44" s="1062"/>
      <c r="BX44" s="1062"/>
      <c r="BY44" s="1062"/>
      <c r="BZ44" s="1062"/>
      <c r="CA44" s="1062"/>
      <c r="CB44" s="1062"/>
      <c r="CC44" s="1062"/>
    </row>
    <row r="45" spans="1:81" s="280" customFormat="1" ht="27" hidden="1" outlineLevel="1">
      <c r="A45" s="1079" t="s">
        <v>530</v>
      </c>
      <c r="B45" s="1080" t="s">
        <v>663</v>
      </c>
      <c r="C45" s="1080"/>
      <c r="D45" s="1081">
        <v>-49.375</v>
      </c>
      <c r="E45" s="1081">
        <v>-26.577999999999999</v>
      </c>
      <c r="F45" s="1081">
        <v>-52.814</v>
      </c>
      <c r="G45" s="1081">
        <v>-52.555</v>
      </c>
      <c r="H45" s="1081">
        <v>-63.805999999999997</v>
      </c>
      <c r="I45" s="1081">
        <v>-61.335000000000001</v>
      </c>
      <c r="J45" s="1081">
        <v>-78.510999999999996</v>
      </c>
      <c r="K45" s="1081">
        <v>-65.935000000000002</v>
      </c>
      <c r="L45" s="1081">
        <v>-89.102000000000004</v>
      </c>
      <c r="M45" s="1081">
        <v>-70.748999999999995</v>
      </c>
      <c r="N45" s="1081">
        <v>-109</v>
      </c>
      <c r="O45" s="1081">
        <v>-128</v>
      </c>
      <c r="P45" s="1081">
        <v>-78.697000000000003</v>
      </c>
      <c r="Q45" s="1081">
        <v>-96</v>
      </c>
      <c r="R45" s="1081">
        <v>-89.4</v>
      </c>
      <c r="S45" s="1081">
        <v>-73</v>
      </c>
      <c r="T45" s="1081">
        <v>-101.75399999999999</v>
      </c>
      <c r="U45" s="1081">
        <v>-215</v>
      </c>
      <c r="V45" s="1081">
        <v>-196.4</v>
      </c>
      <c r="W45" s="1081">
        <v>-140</v>
      </c>
      <c r="X45" s="1081">
        <v>-127.30800000000001</v>
      </c>
      <c r="Y45" s="1081">
        <v>-9</v>
      </c>
      <c r="Z45" s="1081">
        <v>-12</v>
      </c>
      <c r="AA45" s="1081">
        <v>-35</v>
      </c>
      <c r="AB45" s="1081">
        <v>-40</v>
      </c>
      <c r="AC45" s="1081">
        <v>-40.299999999999997</v>
      </c>
      <c r="AD45" s="1081">
        <v>-55.93</v>
      </c>
      <c r="AE45" s="1081">
        <v>-14.399999999999999</v>
      </c>
      <c r="AF45" s="1081">
        <v>-122</v>
      </c>
      <c r="AG45" s="1081">
        <v>-191</v>
      </c>
      <c r="AH45" s="1081">
        <v>-121</v>
      </c>
      <c r="AI45" s="1081">
        <v>11</v>
      </c>
      <c r="AJ45" s="1081">
        <v>-9</v>
      </c>
      <c r="AK45" s="1081">
        <v>8</v>
      </c>
      <c r="AL45" s="1081">
        <v>-54</v>
      </c>
      <c r="AM45" s="1081">
        <v>12</v>
      </c>
      <c r="AN45" s="1081">
        <v>49</v>
      </c>
      <c r="AO45" s="1081">
        <v>24</v>
      </c>
      <c r="AP45" s="1081">
        <v>50</v>
      </c>
      <c r="AQ45" s="1081">
        <v>-60</v>
      </c>
      <c r="AR45" s="1061"/>
      <c r="AS45" s="1061"/>
      <c r="AT45" s="1061"/>
      <c r="AU45" s="1061"/>
      <c r="AV45" s="1061"/>
      <c r="AW45" s="1061"/>
      <c r="AX45" s="1061"/>
      <c r="AY45" s="1061"/>
      <c r="AZ45" s="1061"/>
      <c r="BA45" s="1061"/>
      <c r="BB45" s="1061"/>
      <c r="BC45" s="1061"/>
      <c r="BD45" s="1061"/>
      <c r="BE45" s="1061"/>
      <c r="BF45" s="1061"/>
      <c r="BG45" s="1061"/>
      <c r="BH45" s="1061"/>
      <c r="BI45" s="1061"/>
      <c r="BJ45" s="1061"/>
      <c r="BK45" s="1061"/>
      <c r="BL45" s="1061"/>
      <c r="BM45" s="1061"/>
      <c r="BN45" s="1061"/>
      <c r="BO45" s="1061"/>
      <c r="BP45" s="1061"/>
      <c r="BQ45" s="1061"/>
      <c r="BR45" s="1061"/>
      <c r="BS45" s="1061"/>
      <c r="BT45" s="1061"/>
      <c r="BU45" s="1061"/>
      <c r="BV45" s="1061"/>
      <c r="BW45" s="1061"/>
      <c r="BX45" s="1061"/>
      <c r="BY45" s="1061"/>
      <c r="BZ45" s="1061"/>
      <c r="CA45" s="1061"/>
      <c r="CB45" s="1061"/>
      <c r="CC45" s="1061"/>
    </row>
    <row r="46" spans="1:81" s="280" customFormat="1" ht="27" hidden="1" outlineLevel="1">
      <c r="A46" s="1079" t="s">
        <v>260</v>
      </c>
      <c r="B46" s="1080" t="s">
        <v>664</v>
      </c>
      <c r="C46" s="1080"/>
      <c r="D46" s="1081">
        <v>-485.45400000000001</v>
      </c>
      <c r="E46" s="1081">
        <v>-450.54</v>
      </c>
      <c r="F46" s="1081">
        <v>-427.5</v>
      </c>
      <c r="G46" s="1081">
        <v>-567.52200000000005</v>
      </c>
      <c r="H46" s="1081">
        <v>-657.26099999999997</v>
      </c>
      <c r="I46" s="1081">
        <v>-676.81500000000005</v>
      </c>
      <c r="J46" s="1081">
        <v>-657.37</v>
      </c>
      <c r="K46" s="1081">
        <v>-657.57799999999997</v>
      </c>
      <c r="L46" s="1081">
        <v>-655</v>
      </c>
      <c r="M46" s="1081">
        <v>-652</v>
      </c>
      <c r="N46" s="1081">
        <v>-658</v>
      </c>
      <c r="O46" s="1081">
        <v>-662</v>
      </c>
      <c r="P46" s="1081">
        <v>-670.27</v>
      </c>
      <c r="Q46" s="1081">
        <v>-641</v>
      </c>
      <c r="R46" s="1081">
        <v>-644</v>
      </c>
      <c r="S46" s="1081">
        <v>-580</v>
      </c>
      <c r="T46" s="1081">
        <v>-603</v>
      </c>
      <c r="U46" s="1081">
        <v>-598</v>
      </c>
      <c r="V46" s="1081">
        <v>-686</v>
      </c>
      <c r="W46" s="1081">
        <v>-633</v>
      </c>
      <c r="X46" s="1081">
        <v>-642.95699999999999</v>
      </c>
      <c r="Y46" s="1081">
        <v>-1089</v>
      </c>
      <c r="Z46" s="1081">
        <v>-1049.6859999999999</v>
      </c>
      <c r="AA46" s="1081">
        <v>-49</v>
      </c>
      <c r="AB46" s="1081">
        <v>-40</v>
      </c>
      <c r="AC46" s="1081">
        <v>-39.527000000000001</v>
      </c>
      <c r="AD46" s="1081">
        <v>-22.65</v>
      </c>
      <c r="AE46" s="1081">
        <v>-285.49999999999994</v>
      </c>
      <c r="AF46" s="1081">
        <v>-191</v>
      </c>
      <c r="AG46" s="1081">
        <v>-60</v>
      </c>
      <c r="AH46" s="1081">
        <v>-67</v>
      </c>
      <c r="AI46" s="1081">
        <v>-63.600000000000009</v>
      </c>
      <c r="AJ46" s="1081">
        <v>-47</v>
      </c>
      <c r="AK46" s="1081">
        <v>-63</v>
      </c>
      <c r="AL46" s="1081">
        <v>-69</v>
      </c>
      <c r="AM46" s="1081">
        <v>-71</v>
      </c>
      <c r="AN46" s="1081">
        <v>0</v>
      </c>
      <c r="AO46" s="1081">
        <v>0</v>
      </c>
      <c r="AP46" s="1081">
        <v>0</v>
      </c>
      <c r="AQ46" s="1081">
        <v>0</v>
      </c>
      <c r="AR46" s="1061"/>
      <c r="AS46" s="1061"/>
      <c r="AT46" s="1061"/>
      <c r="AU46" s="1061"/>
      <c r="AV46" s="1061"/>
      <c r="AW46" s="1061"/>
      <c r="AX46" s="1061"/>
      <c r="AY46" s="1061"/>
      <c r="AZ46" s="1061"/>
      <c r="BA46" s="1061"/>
      <c r="BB46" s="1061"/>
      <c r="BC46" s="1061"/>
      <c r="BD46" s="1061"/>
      <c r="BE46" s="1061"/>
      <c r="BF46" s="1061"/>
      <c r="BG46" s="1061"/>
      <c r="BH46" s="1061"/>
      <c r="BI46" s="1061"/>
      <c r="BJ46" s="1061"/>
      <c r="BK46" s="1061"/>
      <c r="BL46" s="1061"/>
      <c r="BM46" s="1061"/>
      <c r="BN46" s="1061"/>
      <c r="BO46" s="1061"/>
      <c r="BP46" s="1061"/>
      <c r="BQ46" s="1061"/>
      <c r="BR46" s="1061"/>
      <c r="BS46" s="1061"/>
      <c r="BT46" s="1061"/>
      <c r="BU46" s="1061"/>
      <c r="BV46" s="1061"/>
      <c r="BW46" s="1061"/>
      <c r="BX46" s="1061"/>
      <c r="BY46" s="1061"/>
      <c r="BZ46" s="1061"/>
      <c r="CA46" s="1061"/>
      <c r="CB46" s="1061"/>
      <c r="CC46" s="1061"/>
    </row>
    <row r="47" spans="1:81" s="278" customFormat="1" collapsed="1">
      <c r="A47" s="1090" t="s">
        <v>309</v>
      </c>
      <c r="B47" s="1091" t="s">
        <v>537</v>
      </c>
      <c r="C47" s="1091"/>
      <c r="D47" s="1077">
        <f t="shared" ref="D47:AP47" si="7">D48+D49+D50+D51</f>
        <v>1115.2460000000001</v>
      </c>
      <c r="E47" s="1077">
        <f t="shared" si="7"/>
        <v>1150.1600000000001</v>
      </c>
      <c r="F47" s="1077">
        <f t="shared" si="7"/>
        <v>1195.4000000000001</v>
      </c>
      <c r="G47" s="1077">
        <f t="shared" si="7"/>
        <v>1059.1410000000001</v>
      </c>
      <c r="H47" s="1077">
        <f t="shared" si="7"/>
        <v>969.63400000000001</v>
      </c>
      <c r="I47" s="1077">
        <f t="shared" si="7"/>
        <v>958.49499999999989</v>
      </c>
      <c r="J47" s="1077">
        <f t="shared" si="7"/>
        <v>977.06200000000001</v>
      </c>
      <c r="K47" s="1077">
        <f t="shared" si="7"/>
        <v>967.41800000000012</v>
      </c>
      <c r="L47" s="1077">
        <f t="shared" si="7"/>
        <v>974.42000000000007</v>
      </c>
      <c r="M47" s="1077">
        <f t="shared" si="7"/>
        <v>1000.4570000000001</v>
      </c>
      <c r="N47" s="1077">
        <f t="shared" si="7"/>
        <v>992.91100000000006</v>
      </c>
      <c r="O47" s="1077">
        <f t="shared" si="7"/>
        <v>990</v>
      </c>
      <c r="P47" s="1077">
        <f t="shared" si="7"/>
        <v>985.73</v>
      </c>
      <c r="Q47" s="1077">
        <f t="shared" si="7"/>
        <v>1002</v>
      </c>
      <c r="R47" s="1077">
        <f t="shared" si="7"/>
        <v>986</v>
      </c>
      <c r="S47" s="1077">
        <f t="shared" si="7"/>
        <v>1087</v>
      </c>
      <c r="T47" s="1077">
        <f t="shared" si="7"/>
        <v>1037</v>
      </c>
      <c r="U47" s="1077">
        <f t="shared" si="7"/>
        <v>1050</v>
      </c>
      <c r="V47" s="1077">
        <f t="shared" si="7"/>
        <v>957</v>
      </c>
      <c r="W47" s="1077">
        <f t="shared" si="7"/>
        <v>1023</v>
      </c>
      <c r="X47" s="1077">
        <f t="shared" si="7"/>
        <v>1014.5179999999999</v>
      </c>
      <c r="Y47" s="1077">
        <f t="shared" si="7"/>
        <v>512</v>
      </c>
      <c r="Z47" s="1077">
        <f t="shared" si="7"/>
        <v>551</v>
      </c>
      <c r="AA47" s="1077">
        <f t="shared" si="7"/>
        <v>2321</v>
      </c>
      <c r="AB47" s="1077">
        <f t="shared" si="7"/>
        <v>2383</v>
      </c>
      <c r="AC47" s="1077">
        <f t="shared" si="7"/>
        <v>2413.6999999999998</v>
      </c>
      <c r="AD47" s="1077">
        <f t="shared" si="7"/>
        <v>2417</v>
      </c>
      <c r="AE47" s="1077">
        <f t="shared" si="7"/>
        <v>2428</v>
      </c>
      <c r="AF47" s="1077">
        <f t="shared" si="7"/>
        <v>2415</v>
      </c>
      <c r="AG47" s="1077">
        <f t="shared" si="7"/>
        <v>2448</v>
      </c>
      <c r="AH47" s="1077">
        <f t="shared" si="7"/>
        <v>2431</v>
      </c>
      <c r="AI47" s="1077">
        <f t="shared" si="7"/>
        <v>2456.1</v>
      </c>
      <c r="AJ47" s="1077">
        <f t="shared" si="7"/>
        <v>1530</v>
      </c>
      <c r="AK47" s="1077">
        <f t="shared" si="7"/>
        <v>1534</v>
      </c>
      <c r="AL47" s="1077">
        <f t="shared" si="7"/>
        <v>1634</v>
      </c>
      <c r="AM47" s="1077">
        <f t="shared" si="7"/>
        <v>1700</v>
      </c>
      <c r="AN47" s="1077">
        <f t="shared" si="7"/>
        <v>2700</v>
      </c>
      <c r="AO47" s="1077">
        <f t="shared" si="7"/>
        <v>2700</v>
      </c>
      <c r="AP47" s="1077">
        <f t="shared" si="7"/>
        <v>2700</v>
      </c>
      <c r="AQ47" s="1077">
        <v>2700</v>
      </c>
      <c r="AR47" s="1060"/>
      <c r="AS47" s="1060"/>
      <c r="AT47" s="1060"/>
      <c r="AU47" s="1060"/>
      <c r="AV47" s="1060"/>
      <c r="AW47" s="1060"/>
      <c r="AX47" s="1060"/>
      <c r="AY47" s="1060"/>
      <c r="AZ47" s="1060"/>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row>
    <row r="48" spans="1:81" s="280" customFormat="1" ht="40.5" hidden="1" outlineLevel="1">
      <c r="A48" s="1079" t="s">
        <v>543</v>
      </c>
      <c r="B48" s="1080" t="s">
        <v>662</v>
      </c>
      <c r="C48" s="1080"/>
      <c r="D48" s="1081">
        <v>1600.7</v>
      </c>
      <c r="E48" s="1081">
        <v>1600.7</v>
      </c>
      <c r="F48" s="1081">
        <v>1600.7</v>
      </c>
      <c r="G48" s="1081">
        <v>1600.7</v>
      </c>
      <c r="H48" s="1081">
        <v>1600.7</v>
      </c>
      <c r="I48" s="1081">
        <v>1600.7</v>
      </c>
      <c r="J48" s="1081">
        <v>1600.7</v>
      </c>
      <c r="K48" s="1081">
        <v>1600.7</v>
      </c>
      <c r="L48" s="1081">
        <v>1600.7</v>
      </c>
      <c r="M48" s="1081">
        <v>1600.7</v>
      </c>
      <c r="N48" s="1081">
        <v>1600.7</v>
      </c>
      <c r="O48" s="1081">
        <v>1601</v>
      </c>
      <c r="P48" s="1081">
        <v>1601</v>
      </c>
      <c r="Q48" s="1081">
        <v>1601</v>
      </c>
      <c r="R48" s="1081">
        <v>1601</v>
      </c>
      <c r="S48" s="1081">
        <v>1601</v>
      </c>
      <c r="T48" s="1081">
        <v>1601</v>
      </c>
      <c r="U48" s="1081">
        <v>1601</v>
      </c>
      <c r="V48" s="1081">
        <v>1601</v>
      </c>
      <c r="W48" s="1081">
        <v>1601</v>
      </c>
      <c r="X48" s="1081">
        <v>1601</v>
      </c>
      <c r="Y48" s="1081">
        <v>1601</v>
      </c>
      <c r="Z48" s="1081">
        <v>1601</v>
      </c>
      <c r="AA48" s="1081">
        <v>2395</v>
      </c>
      <c r="AB48" s="1081">
        <v>2477</v>
      </c>
      <c r="AC48" s="1081">
        <v>2505.9299999999998</v>
      </c>
      <c r="AD48" s="1081">
        <v>2469</v>
      </c>
      <c r="AE48" s="1081">
        <v>2483</v>
      </c>
      <c r="AF48" s="1081">
        <v>2475</v>
      </c>
      <c r="AG48" s="1081">
        <v>2512</v>
      </c>
      <c r="AH48" s="1081">
        <v>2492</v>
      </c>
      <c r="AI48" s="1081">
        <v>2523</v>
      </c>
      <c r="AJ48" s="1081">
        <v>1601</v>
      </c>
      <c r="AK48" s="1081">
        <v>1601</v>
      </c>
      <c r="AL48" s="1081">
        <v>1700</v>
      </c>
      <c r="AM48" s="1081">
        <v>1700</v>
      </c>
      <c r="AN48" s="1081">
        <v>2700</v>
      </c>
      <c r="AO48" s="1081">
        <v>2700</v>
      </c>
      <c r="AP48" s="1081">
        <v>2700</v>
      </c>
      <c r="AQ48" s="1081">
        <v>2700</v>
      </c>
      <c r="AR48" s="1061"/>
      <c r="AS48" s="1061"/>
      <c r="AT48" s="1061"/>
      <c r="AU48" s="1061"/>
      <c r="AV48" s="1061"/>
      <c r="AW48" s="1061"/>
      <c r="AX48" s="1061"/>
      <c r="AY48" s="1061"/>
      <c r="AZ48" s="1061"/>
      <c r="BA48" s="1061"/>
      <c r="BB48" s="1061"/>
      <c r="BC48" s="1061"/>
      <c r="BD48" s="1061"/>
      <c r="BE48" s="1061"/>
      <c r="BF48" s="1061"/>
      <c r="BG48" s="1061"/>
      <c r="BH48" s="1061"/>
      <c r="BI48" s="1061"/>
      <c r="BJ48" s="1061"/>
      <c r="BK48" s="1061"/>
      <c r="BL48" s="1061"/>
      <c r="BM48" s="1061"/>
      <c r="BN48" s="1061"/>
      <c r="BO48" s="1061"/>
      <c r="BP48" s="1061"/>
      <c r="BQ48" s="1061"/>
      <c r="BR48" s="1061"/>
      <c r="BS48" s="1061"/>
      <c r="BT48" s="1061"/>
      <c r="BU48" s="1061"/>
      <c r="BV48" s="1061"/>
      <c r="BW48" s="1061"/>
      <c r="BX48" s="1061"/>
      <c r="BY48" s="1061"/>
      <c r="BZ48" s="1061"/>
      <c r="CA48" s="1061"/>
      <c r="CB48" s="1061"/>
      <c r="CC48" s="1061"/>
    </row>
    <row r="49" spans="1:81" s="280" customFormat="1" ht="67.5" hidden="1" outlineLevel="1">
      <c r="A49" s="1079" t="s">
        <v>771</v>
      </c>
      <c r="B49" s="1080" t="s">
        <v>772</v>
      </c>
      <c r="C49" s="1080"/>
      <c r="D49" s="1081"/>
      <c r="E49" s="1081"/>
      <c r="F49" s="1081">
        <v>22.2</v>
      </c>
      <c r="G49" s="1081">
        <v>25.963000000000001</v>
      </c>
      <c r="H49" s="1081">
        <v>26.195</v>
      </c>
      <c r="I49" s="1081">
        <v>34.61</v>
      </c>
      <c r="J49" s="1081">
        <v>33.731999999999999</v>
      </c>
      <c r="K49" s="1081">
        <v>24.295999999999999</v>
      </c>
      <c r="L49" s="1081">
        <v>28.72</v>
      </c>
      <c r="M49" s="1081">
        <v>51.756999999999998</v>
      </c>
      <c r="N49" s="1081">
        <v>50.5</v>
      </c>
      <c r="O49" s="1081">
        <v>51</v>
      </c>
      <c r="P49" s="1081">
        <v>55</v>
      </c>
      <c r="Q49" s="1081">
        <v>42</v>
      </c>
      <c r="R49" s="1081">
        <v>29</v>
      </c>
      <c r="S49" s="1081">
        <v>66</v>
      </c>
      <c r="T49" s="1081">
        <v>39</v>
      </c>
      <c r="U49" s="1081">
        <v>47</v>
      </c>
      <c r="V49" s="1081">
        <v>42</v>
      </c>
      <c r="W49" s="1081">
        <v>55</v>
      </c>
      <c r="X49" s="1081">
        <v>56.475000000000001</v>
      </c>
      <c r="Y49" s="1081"/>
      <c r="Z49" s="1081"/>
      <c r="AA49" s="1081"/>
      <c r="AB49" s="1081"/>
      <c r="AC49" s="1081"/>
      <c r="AD49" s="1081"/>
      <c r="AE49" s="1081"/>
      <c r="AF49" s="1081"/>
      <c r="AG49" s="1081"/>
      <c r="AH49" s="1081"/>
      <c r="AI49" s="1081"/>
      <c r="AJ49" s="1081"/>
      <c r="AK49" s="1081"/>
      <c r="AL49" s="1081"/>
      <c r="AM49" s="1088"/>
      <c r="AN49" s="1088"/>
      <c r="AO49" s="1088"/>
      <c r="AP49" s="1088"/>
      <c r="AQ49" s="1088"/>
      <c r="AR49" s="1061"/>
      <c r="AS49" s="1061"/>
      <c r="AT49" s="1061"/>
      <c r="AU49" s="1061"/>
      <c r="AV49" s="1061"/>
      <c r="AW49" s="1061"/>
      <c r="AX49" s="1061"/>
      <c r="AY49" s="1061"/>
      <c r="AZ49" s="1061"/>
      <c r="BA49" s="1061"/>
      <c r="BB49" s="1061"/>
      <c r="BC49" s="1061"/>
      <c r="BD49" s="1061"/>
      <c r="BE49" s="1061"/>
      <c r="BF49" s="1061"/>
      <c r="BG49" s="1061"/>
      <c r="BH49" s="1061"/>
      <c r="BI49" s="1061"/>
      <c r="BJ49" s="1061"/>
      <c r="BK49" s="1061"/>
      <c r="BL49" s="1061"/>
      <c r="BM49" s="1061"/>
      <c r="BN49" s="1061"/>
      <c r="BO49" s="1061"/>
      <c r="BP49" s="1061"/>
      <c r="BQ49" s="1061"/>
      <c r="BR49" s="1061"/>
      <c r="BS49" s="1061"/>
      <c r="BT49" s="1061"/>
      <c r="BU49" s="1061"/>
      <c r="BV49" s="1061"/>
      <c r="BW49" s="1061"/>
      <c r="BX49" s="1061"/>
      <c r="BY49" s="1061"/>
      <c r="BZ49" s="1061"/>
      <c r="CA49" s="1061"/>
      <c r="CB49" s="1061"/>
      <c r="CC49" s="1061"/>
    </row>
    <row r="50" spans="1:81" s="280" customFormat="1" ht="27" hidden="1" outlineLevel="1">
      <c r="A50" s="1079" t="s">
        <v>73</v>
      </c>
      <c r="B50" s="1080" t="s">
        <v>216</v>
      </c>
      <c r="C50" s="1080"/>
      <c r="D50" s="1081"/>
      <c r="E50" s="1081"/>
      <c r="F50" s="1081"/>
      <c r="G50" s="1081"/>
      <c r="H50" s="1081"/>
      <c r="I50" s="1081"/>
      <c r="J50" s="1081"/>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1081"/>
      <c r="AG50" s="1081"/>
      <c r="AH50" s="1081"/>
      <c r="AI50" s="1081"/>
      <c r="AJ50" s="1081"/>
      <c r="AK50" s="1081"/>
      <c r="AL50" s="1081"/>
      <c r="AM50" s="1088"/>
      <c r="AN50" s="1088"/>
      <c r="AO50" s="1088"/>
      <c r="AP50" s="1088"/>
      <c r="AQ50" s="1088"/>
      <c r="AR50" s="1061"/>
      <c r="AS50" s="1061"/>
      <c r="AT50" s="1061"/>
      <c r="AU50" s="1061"/>
      <c r="AV50" s="1061"/>
      <c r="AW50" s="1061"/>
      <c r="AX50" s="1061"/>
      <c r="AY50" s="1061"/>
      <c r="AZ50" s="1061"/>
      <c r="BA50" s="1061"/>
      <c r="BB50" s="1061"/>
      <c r="BC50" s="1061"/>
      <c r="BD50" s="1061"/>
      <c r="BE50" s="1061"/>
      <c r="BF50" s="1061"/>
      <c r="BG50" s="1061"/>
      <c r="BH50" s="1061"/>
      <c r="BI50" s="1061"/>
      <c r="BJ50" s="1061"/>
      <c r="BK50" s="1061"/>
      <c r="BL50" s="1061"/>
      <c r="BM50" s="1061"/>
      <c r="BN50" s="1061"/>
      <c r="BO50" s="1061"/>
      <c r="BP50" s="1061"/>
      <c r="BQ50" s="1061"/>
      <c r="BR50" s="1061"/>
      <c r="BS50" s="1061"/>
      <c r="BT50" s="1061"/>
      <c r="BU50" s="1061"/>
      <c r="BV50" s="1061"/>
      <c r="BW50" s="1061"/>
      <c r="BX50" s="1061"/>
      <c r="BY50" s="1061"/>
      <c r="BZ50" s="1061"/>
      <c r="CA50" s="1061"/>
      <c r="CB50" s="1061"/>
      <c r="CC50" s="1061"/>
    </row>
    <row r="51" spans="1:81" s="280" customFormat="1" ht="27" hidden="1" outlineLevel="1">
      <c r="A51" s="1092" t="s">
        <v>308</v>
      </c>
      <c r="B51" s="1080" t="s">
        <v>536</v>
      </c>
      <c r="C51" s="1080"/>
      <c r="D51" s="1081">
        <v>-485.45400000000001</v>
      </c>
      <c r="E51" s="1081">
        <v>-450.54</v>
      </c>
      <c r="F51" s="1126">
        <v>-427.5</v>
      </c>
      <c r="G51" s="1081">
        <v>-567.52200000000005</v>
      </c>
      <c r="H51" s="1081">
        <v>-657.26099999999997</v>
      </c>
      <c r="I51" s="1081">
        <v>-676.81500000000005</v>
      </c>
      <c r="J51" s="1081">
        <v>-657.37</v>
      </c>
      <c r="K51" s="1081">
        <v>-657.57799999999997</v>
      </c>
      <c r="L51" s="1081">
        <v>-655</v>
      </c>
      <c r="M51" s="1081">
        <v>-652</v>
      </c>
      <c r="N51" s="1081">
        <v>-658.28899999999999</v>
      </c>
      <c r="O51" s="1081">
        <v>-662</v>
      </c>
      <c r="P51" s="1081">
        <v>-670.27</v>
      </c>
      <c r="Q51" s="1081">
        <v>-641</v>
      </c>
      <c r="R51" s="1081">
        <v>-644</v>
      </c>
      <c r="S51" s="1081">
        <v>-580</v>
      </c>
      <c r="T51" s="1081">
        <v>-603</v>
      </c>
      <c r="U51" s="1081">
        <v>-598</v>
      </c>
      <c r="V51" s="1081">
        <v>-686</v>
      </c>
      <c r="W51" s="1081">
        <v>-633</v>
      </c>
      <c r="X51" s="1081">
        <v>-642.95699999999999</v>
      </c>
      <c r="Y51" s="1081">
        <v>-1089</v>
      </c>
      <c r="Z51" s="1081">
        <v>-1050</v>
      </c>
      <c r="AA51" s="1081">
        <v>-74</v>
      </c>
      <c r="AB51" s="1081">
        <v>-94</v>
      </c>
      <c r="AC51" s="1081">
        <v>-92.23</v>
      </c>
      <c r="AD51" s="1081">
        <v>-52</v>
      </c>
      <c r="AE51" s="1081">
        <v>-55</v>
      </c>
      <c r="AF51" s="1081">
        <v>-60</v>
      </c>
      <c r="AG51" s="1081">
        <v>-64</v>
      </c>
      <c r="AH51" s="1081">
        <v>-61</v>
      </c>
      <c r="AI51" s="1081">
        <v>-66.900000000000006</v>
      </c>
      <c r="AJ51" s="1081">
        <v>-71</v>
      </c>
      <c r="AK51" s="1081">
        <v>-67</v>
      </c>
      <c r="AL51" s="1081">
        <v>-66</v>
      </c>
      <c r="AM51" s="1081">
        <v>0</v>
      </c>
      <c r="AN51" s="1081">
        <v>0</v>
      </c>
      <c r="AO51" s="1081">
        <v>0</v>
      </c>
      <c r="AP51" s="1081">
        <v>0</v>
      </c>
      <c r="AQ51" s="1081"/>
      <c r="AR51" s="1061"/>
      <c r="AS51" s="1061"/>
      <c r="AT51" s="1061"/>
      <c r="AU51" s="1061"/>
      <c r="AV51" s="1061"/>
      <c r="AW51" s="1061"/>
      <c r="AX51" s="1061"/>
      <c r="AY51" s="1061"/>
      <c r="AZ51" s="1061"/>
      <c r="BA51" s="1061"/>
      <c r="BB51" s="1061"/>
      <c r="BC51" s="1061"/>
      <c r="BD51" s="1061"/>
      <c r="BE51" s="1061"/>
      <c r="BF51" s="1061"/>
      <c r="BG51" s="1061"/>
      <c r="BH51" s="1061"/>
      <c r="BI51" s="1061"/>
      <c r="BJ51" s="1061"/>
      <c r="BK51" s="1061"/>
      <c r="BL51" s="1061"/>
      <c r="BM51" s="1061"/>
      <c r="BN51" s="1061"/>
      <c r="BO51" s="1061"/>
      <c r="BP51" s="1061"/>
      <c r="BQ51" s="1061"/>
      <c r="BR51" s="1061"/>
      <c r="BS51" s="1061"/>
      <c r="BT51" s="1061"/>
      <c r="BU51" s="1061"/>
      <c r="BV51" s="1061"/>
      <c r="BW51" s="1061"/>
      <c r="BX51" s="1061"/>
      <c r="BY51" s="1061"/>
      <c r="BZ51" s="1061"/>
      <c r="CA51" s="1061"/>
      <c r="CB51" s="1061"/>
      <c r="CC51" s="1061"/>
    </row>
    <row r="52" spans="1:81" s="278" customFormat="1" collapsed="1">
      <c r="A52" s="1094" t="s">
        <v>526</v>
      </c>
      <c r="B52" s="1095" t="s">
        <v>531</v>
      </c>
      <c r="C52" s="1095"/>
      <c r="D52" s="1077">
        <v>46.320999999999998</v>
      </c>
      <c r="E52" s="1077">
        <v>67.536000000000001</v>
      </c>
      <c r="F52" s="1077">
        <v>87.198999999999998</v>
      </c>
      <c r="G52" s="1077">
        <v>129.876</v>
      </c>
      <c r="H52" s="1077">
        <v>36.661999999999999</v>
      </c>
      <c r="I52" s="1077">
        <v>71.302999999999997</v>
      </c>
      <c r="J52" s="1077">
        <v>106.511</v>
      </c>
      <c r="K52" s="1077">
        <v>145.928</v>
      </c>
      <c r="L52" s="1077">
        <v>34.450000000000003</v>
      </c>
      <c r="M52" s="1077">
        <v>68.647000000000006</v>
      </c>
      <c r="N52" s="1077">
        <v>98.799000000000007</v>
      </c>
      <c r="O52" s="1077">
        <v>133</v>
      </c>
      <c r="P52" s="1077">
        <v>30</v>
      </c>
      <c r="Q52" s="1077">
        <v>60</v>
      </c>
      <c r="R52" s="1077">
        <v>93</v>
      </c>
      <c r="S52" s="1077">
        <v>130</v>
      </c>
      <c r="T52" s="1077">
        <v>38</v>
      </c>
      <c r="U52" s="1077">
        <v>82</v>
      </c>
      <c r="V52" s="1077">
        <v>122</v>
      </c>
      <c r="W52" s="1077">
        <v>154</v>
      </c>
      <c r="X52" s="1077">
        <v>188.946</v>
      </c>
      <c r="Y52" s="1096"/>
      <c r="Z52" s="1096"/>
      <c r="AA52" s="1096"/>
      <c r="AB52" s="1096"/>
      <c r="AC52" s="1096"/>
      <c r="AD52" s="1096"/>
      <c r="AE52" s="1096"/>
      <c r="AF52" s="1096"/>
      <c r="AG52" s="1096"/>
      <c r="AH52" s="1096"/>
      <c r="AI52" s="1096"/>
      <c r="AJ52" s="1096"/>
      <c r="AK52" s="1096"/>
      <c r="AL52" s="1096"/>
      <c r="AM52" s="1096"/>
      <c r="AN52" s="1096"/>
      <c r="AO52" s="1096"/>
      <c r="AP52" s="1096"/>
      <c r="AQ52" s="1096"/>
      <c r="AR52" s="1060"/>
      <c r="AS52" s="1060"/>
      <c r="AT52" s="1060"/>
      <c r="AU52" s="1060"/>
      <c r="AV52" s="1060"/>
      <c r="AW52" s="1060"/>
      <c r="AX52" s="1060"/>
      <c r="AY52" s="1060"/>
      <c r="AZ52" s="1060"/>
      <c r="BA52" s="1060"/>
      <c r="BB52" s="1060"/>
      <c r="BC52" s="1060"/>
      <c r="BD52" s="1060"/>
      <c r="BE52" s="1060"/>
      <c r="BF52" s="1060"/>
      <c r="BG52" s="1060"/>
      <c r="BH52" s="1060"/>
      <c r="BI52" s="1060"/>
      <c r="BJ52" s="1060"/>
      <c r="BK52" s="1060"/>
      <c r="BL52" s="1060"/>
      <c r="BM52" s="1060"/>
      <c r="BN52" s="1060"/>
      <c r="BO52" s="1060"/>
      <c r="BP52" s="1060"/>
      <c r="BQ52" s="1060"/>
      <c r="BR52" s="1060"/>
      <c r="BS52" s="1060"/>
      <c r="BT52" s="1060"/>
      <c r="BU52" s="1060"/>
      <c r="BV52" s="1060"/>
      <c r="BW52" s="1060"/>
      <c r="BX52" s="1060"/>
      <c r="BY52" s="1060"/>
      <c r="BZ52" s="1060"/>
      <c r="CA52" s="1060"/>
      <c r="CB52" s="1060"/>
      <c r="CC52" s="1060"/>
    </row>
    <row r="53" spans="1:81">
      <c r="A53" s="1094" t="s">
        <v>310</v>
      </c>
      <c r="B53" s="1095" t="s">
        <v>221</v>
      </c>
      <c r="C53" s="1095"/>
      <c r="D53" s="1098">
        <f t="shared" ref="D53:AQ53" si="8">D52+D47+D37</f>
        <v>11953.201000000001</v>
      </c>
      <c r="E53" s="1098">
        <f t="shared" si="8"/>
        <v>12075.680999999999</v>
      </c>
      <c r="F53" s="1128">
        <f t="shared" si="8"/>
        <v>12092.770999999999</v>
      </c>
      <c r="G53" s="1098">
        <f t="shared" si="8"/>
        <v>16944.530000000002</v>
      </c>
      <c r="H53" s="1098">
        <f t="shared" si="8"/>
        <v>18048.031000000003</v>
      </c>
      <c r="I53" s="1098">
        <f t="shared" si="8"/>
        <v>16672.180000000004</v>
      </c>
      <c r="J53" s="1098">
        <f t="shared" si="8"/>
        <v>16711.251</v>
      </c>
      <c r="K53" s="1098">
        <f t="shared" si="8"/>
        <v>16563.088000000003</v>
      </c>
      <c r="L53" s="1098">
        <f t="shared" si="8"/>
        <v>18390.416000000001</v>
      </c>
      <c r="M53" s="1098">
        <f t="shared" si="8"/>
        <v>17375.345999999998</v>
      </c>
      <c r="N53" s="1098">
        <f t="shared" si="8"/>
        <v>17354.329999999998</v>
      </c>
      <c r="O53" s="1098">
        <f t="shared" si="8"/>
        <v>17347.620999999999</v>
      </c>
      <c r="P53" s="1098">
        <f t="shared" si="8"/>
        <v>19732.762999999999</v>
      </c>
      <c r="Q53" s="1098">
        <f t="shared" si="8"/>
        <v>19815.5</v>
      </c>
      <c r="R53" s="1098">
        <f t="shared" si="8"/>
        <v>19802.099999999999</v>
      </c>
      <c r="S53" s="1098">
        <f t="shared" si="8"/>
        <v>19562</v>
      </c>
      <c r="T53" s="1098">
        <f t="shared" si="8"/>
        <v>21040.245999999999</v>
      </c>
      <c r="U53" s="1098">
        <f t="shared" si="8"/>
        <v>20985</v>
      </c>
      <c r="V53" s="1098">
        <f t="shared" si="8"/>
        <v>20872.599999999999</v>
      </c>
      <c r="W53" s="1098">
        <f t="shared" si="8"/>
        <v>20524</v>
      </c>
      <c r="X53" s="1098">
        <f t="shared" si="8"/>
        <v>20599.828000000001</v>
      </c>
      <c r="Y53" s="1098">
        <f t="shared" si="8"/>
        <v>22085.592000000001</v>
      </c>
      <c r="Z53" s="1098">
        <f t="shared" si="8"/>
        <v>23168.800999999999</v>
      </c>
      <c r="AA53" s="1098">
        <f t="shared" si="8"/>
        <v>24880</v>
      </c>
      <c r="AB53" s="1098">
        <f t="shared" si="8"/>
        <v>25567</v>
      </c>
      <c r="AC53" s="1098">
        <f t="shared" si="8"/>
        <v>27219.235000000004</v>
      </c>
      <c r="AD53" s="1098">
        <f t="shared" si="8"/>
        <v>27275.42</v>
      </c>
      <c r="AE53" s="1098">
        <f t="shared" si="8"/>
        <v>27248.6</v>
      </c>
      <c r="AF53" s="1098">
        <f t="shared" si="8"/>
        <v>28753.65</v>
      </c>
      <c r="AG53" s="1098">
        <f t="shared" si="8"/>
        <v>28427.7</v>
      </c>
      <c r="AH53" s="1098">
        <f t="shared" si="8"/>
        <v>29641</v>
      </c>
      <c r="AI53" s="1098">
        <f t="shared" si="8"/>
        <v>31129.200000000004</v>
      </c>
      <c r="AJ53" s="1098">
        <f t="shared" si="8"/>
        <v>30495</v>
      </c>
      <c r="AK53" s="1098">
        <f t="shared" si="8"/>
        <v>32031</v>
      </c>
      <c r="AL53" s="1098">
        <f t="shared" si="8"/>
        <v>33363</v>
      </c>
      <c r="AM53" s="1098">
        <f t="shared" si="8"/>
        <v>34297</v>
      </c>
      <c r="AN53" s="1098">
        <f t="shared" si="8"/>
        <v>35629</v>
      </c>
      <c r="AO53" s="1098">
        <f t="shared" si="8"/>
        <v>35850</v>
      </c>
      <c r="AP53" s="1098">
        <f t="shared" si="8"/>
        <v>37207</v>
      </c>
      <c r="AQ53" s="1098">
        <f t="shared" si="8"/>
        <v>37770</v>
      </c>
    </row>
    <row r="54" spans="1:81" s="282" customFormat="1" ht="12">
      <c r="A54" s="1100"/>
      <c r="B54" s="1101"/>
      <c r="C54" s="1101"/>
      <c r="D54" s="1103"/>
      <c r="E54" s="1103"/>
      <c r="F54" s="1129"/>
      <c r="G54" s="1103"/>
      <c r="H54" s="1103"/>
      <c r="I54" s="1103"/>
      <c r="J54" s="1103"/>
      <c r="K54" s="1103"/>
      <c r="L54" s="1103"/>
      <c r="M54" s="1103"/>
      <c r="N54" s="1103"/>
      <c r="O54" s="1103"/>
      <c r="P54" s="1103"/>
      <c r="Q54" s="1103"/>
      <c r="R54" s="1103"/>
      <c r="S54" s="1103"/>
      <c r="T54" s="1103"/>
      <c r="U54" s="1103"/>
      <c r="V54" s="1103"/>
      <c r="W54" s="1103"/>
      <c r="X54" s="1103"/>
      <c r="Y54" s="1103"/>
      <c r="Z54" s="1103"/>
      <c r="AA54" s="1103"/>
      <c r="AB54" s="1103"/>
      <c r="AC54" s="1103"/>
      <c r="AD54" s="1103"/>
      <c r="AE54" s="1103"/>
      <c r="AF54" s="1103"/>
      <c r="AG54" s="1103"/>
      <c r="AH54" s="1103"/>
      <c r="AI54" s="1103"/>
      <c r="AJ54" s="1103"/>
      <c r="AK54" s="1103"/>
      <c r="AL54" s="1103"/>
      <c r="AM54" s="1103"/>
      <c r="AN54" s="1103"/>
      <c r="AO54" s="1103"/>
      <c r="AP54" s="1103"/>
      <c r="AQ54" s="110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3"/>
      <c r="BQ54" s="1063"/>
      <c r="BR54" s="1063"/>
      <c r="BS54" s="1063"/>
      <c r="BT54" s="1063"/>
      <c r="BU54" s="1063"/>
      <c r="BV54" s="1063"/>
      <c r="BW54" s="1063"/>
      <c r="BX54" s="1063"/>
      <c r="BY54" s="1063"/>
      <c r="BZ54" s="1063"/>
      <c r="CA54" s="1063"/>
      <c r="CB54" s="1063"/>
      <c r="CC54" s="1063"/>
    </row>
    <row r="55" spans="1:81">
      <c r="A55" s="1105" t="s">
        <v>311</v>
      </c>
      <c r="B55" s="1106" t="s">
        <v>539</v>
      </c>
      <c r="C55" s="1106"/>
      <c r="D55" s="1107"/>
      <c r="E55" s="1107"/>
      <c r="F55" s="1107"/>
      <c r="G55" s="1107"/>
      <c r="H55" s="1107"/>
      <c r="I55" s="1107"/>
      <c r="J55" s="1107"/>
      <c r="K55" s="1107"/>
      <c r="L55" s="1107"/>
      <c r="M55" s="1107"/>
      <c r="N55" s="1107"/>
      <c r="O55" s="1107"/>
      <c r="P55" s="1107"/>
      <c r="Q55" s="1107"/>
      <c r="R55" s="1107"/>
      <c r="S55" s="1107"/>
      <c r="T55" s="1107"/>
      <c r="U55" s="1107"/>
      <c r="V55" s="1107"/>
      <c r="W55" s="1107"/>
      <c r="X55" s="1107"/>
      <c r="Y55" s="1107"/>
      <c r="Z55" s="1107"/>
      <c r="AA55" s="1107"/>
      <c r="AB55" s="1107"/>
      <c r="AC55" s="1107"/>
      <c r="AD55" s="1107"/>
      <c r="AE55" s="1107"/>
      <c r="AF55" s="1107"/>
      <c r="AG55" s="1107"/>
      <c r="AH55" s="1107"/>
      <c r="AI55" s="1107"/>
      <c r="AJ55" s="1107"/>
      <c r="AK55" s="1107"/>
      <c r="AL55" s="1107"/>
      <c r="AM55" s="1107"/>
      <c r="AN55" s="1107"/>
      <c r="AO55" s="1107"/>
      <c r="AP55" s="1107"/>
      <c r="AQ55" s="1107"/>
    </row>
    <row r="56" spans="1:81" s="280" customFormat="1" ht="13.5">
      <c r="A56" s="1109" t="s">
        <v>261</v>
      </c>
      <c r="B56" s="1110" t="s">
        <v>538</v>
      </c>
      <c r="C56" s="1110"/>
      <c r="D56" s="1081">
        <v>7852.4719999999998</v>
      </c>
      <c r="E56" s="1081">
        <v>7912.9690000000001</v>
      </c>
      <c r="F56" s="1081">
        <f>8005.335+90.303</f>
        <v>8095.6379999999999</v>
      </c>
      <c r="G56" s="1081">
        <v>8312.9889999999996</v>
      </c>
      <c r="H56" s="1081">
        <v>8507.6460000000006</v>
      </c>
      <c r="I56" s="1081">
        <v>9270.07</v>
      </c>
      <c r="J56" s="1081">
        <v>9396.5079999999998</v>
      </c>
      <c r="K56" s="1081">
        <v>9625.9719999999998</v>
      </c>
      <c r="L56" s="1081">
        <v>9890.8379999999997</v>
      </c>
      <c r="M56" s="1081">
        <v>10217.99</v>
      </c>
      <c r="N56" s="1081">
        <v>10563.4</v>
      </c>
      <c r="O56" s="1081">
        <v>10486.57</v>
      </c>
      <c r="P56" s="1081">
        <v>10412</v>
      </c>
      <c r="Q56" s="1081">
        <v>11083</v>
      </c>
      <c r="R56" s="1081">
        <v>11153</v>
      </c>
      <c r="S56" s="1081">
        <v>11189</v>
      </c>
      <c r="T56" s="1081">
        <v>11389</v>
      </c>
      <c r="U56" s="1081">
        <v>11472</v>
      </c>
      <c r="V56" s="1081">
        <v>11447</v>
      </c>
      <c r="W56" s="1081">
        <v>11392</v>
      </c>
      <c r="X56" s="1081">
        <v>11523</v>
      </c>
      <c r="Y56" s="1081">
        <v>12262</v>
      </c>
      <c r="Z56" s="1081">
        <v>12312</v>
      </c>
      <c r="AA56" s="1081">
        <v>13590</v>
      </c>
      <c r="AB56" s="1081">
        <v>13795</v>
      </c>
      <c r="AC56" s="1081">
        <v>13992</v>
      </c>
      <c r="AD56" s="1081">
        <v>13457</v>
      </c>
      <c r="AE56" s="1081">
        <v>13176</v>
      </c>
      <c r="AF56" s="1081">
        <v>12854</v>
      </c>
      <c r="AG56" s="1081">
        <v>12932.766</v>
      </c>
      <c r="AH56" s="1081">
        <v>12784</v>
      </c>
      <c r="AI56" s="1081">
        <v>13298.7</v>
      </c>
      <c r="AJ56" s="1081">
        <v>13224</v>
      </c>
      <c r="AK56" s="1081">
        <v>12669</v>
      </c>
      <c r="AL56" s="1081">
        <v>12536</v>
      </c>
      <c r="AM56" s="1081">
        <v>13017</v>
      </c>
      <c r="AN56" s="1081">
        <v>13256</v>
      </c>
      <c r="AO56" s="1081">
        <v>13626</v>
      </c>
      <c r="AP56" s="1081">
        <v>13290</v>
      </c>
      <c r="AQ56" s="1081">
        <v>13216</v>
      </c>
      <c r="AR56" s="1061"/>
      <c r="AS56" s="1061"/>
      <c r="AT56" s="1061"/>
      <c r="AU56" s="1061"/>
      <c r="AV56" s="1061"/>
      <c r="AW56" s="1061"/>
      <c r="AX56" s="1061"/>
      <c r="AY56" s="1061"/>
      <c r="AZ56" s="1061"/>
      <c r="BA56" s="1061"/>
      <c r="BB56" s="1061"/>
      <c r="BC56" s="1061"/>
      <c r="BD56" s="1061"/>
      <c r="BE56" s="1061"/>
      <c r="BF56" s="1061"/>
      <c r="BG56" s="1061"/>
      <c r="BH56" s="1061"/>
      <c r="BI56" s="1061"/>
      <c r="BJ56" s="1061"/>
      <c r="BK56" s="1061"/>
      <c r="BL56" s="1061"/>
      <c r="BM56" s="1061"/>
      <c r="BN56" s="1061"/>
      <c r="BO56" s="1061"/>
      <c r="BP56" s="1061"/>
      <c r="BQ56" s="1061"/>
      <c r="BR56" s="1061"/>
      <c r="BS56" s="1061"/>
      <c r="BT56" s="1061"/>
      <c r="BU56" s="1061"/>
      <c r="BV56" s="1061"/>
      <c r="BW56" s="1061"/>
      <c r="BX56" s="1061"/>
      <c r="BY56" s="1061"/>
      <c r="BZ56" s="1061"/>
      <c r="CA56" s="1061"/>
      <c r="CB56" s="1061"/>
      <c r="CC56" s="1061"/>
    </row>
    <row r="57" spans="1:81" s="280" customFormat="1" ht="13.5">
      <c r="A57" s="1111" t="s">
        <v>263</v>
      </c>
      <c r="B57" s="1112" t="s">
        <v>540</v>
      </c>
      <c r="C57" s="1112"/>
      <c r="D57" s="1081">
        <v>259.38299999999998</v>
      </c>
      <c r="E57" s="1081">
        <v>263.91000000000003</v>
      </c>
      <c r="F57" s="1081">
        <v>270.68700000000001</v>
      </c>
      <c r="G57" s="1081">
        <v>230.17099999999999</v>
      </c>
      <c r="H57" s="1081">
        <v>284.45800000000003</v>
      </c>
      <c r="I57" s="1081">
        <v>431.7</v>
      </c>
      <c r="J57" s="1081">
        <v>484.9</v>
      </c>
      <c r="K57" s="1081">
        <v>465.911</v>
      </c>
      <c r="L57" s="1081">
        <v>426.77600000000001</v>
      </c>
      <c r="M57" s="1081">
        <v>444.95499999999998</v>
      </c>
      <c r="N57" s="1081">
        <v>437.959</v>
      </c>
      <c r="O57" s="1081">
        <v>390.863</v>
      </c>
      <c r="P57" s="1081">
        <v>387</v>
      </c>
      <c r="Q57" s="1081">
        <v>542</v>
      </c>
      <c r="R57" s="1081">
        <v>577</v>
      </c>
      <c r="S57" s="1081">
        <v>527</v>
      </c>
      <c r="T57" s="1081">
        <v>562</v>
      </c>
      <c r="U57" s="1081">
        <v>559</v>
      </c>
      <c r="V57" s="1081">
        <v>341</v>
      </c>
      <c r="W57" s="1081">
        <v>340</v>
      </c>
      <c r="X57" s="1081">
        <v>341</v>
      </c>
      <c r="Y57" s="1081">
        <v>353</v>
      </c>
      <c r="Z57" s="1081">
        <v>417</v>
      </c>
      <c r="AA57" s="1081">
        <v>602</v>
      </c>
      <c r="AB57" s="1081">
        <v>615</v>
      </c>
      <c r="AC57" s="1081">
        <v>613</v>
      </c>
      <c r="AD57" s="1081">
        <v>506</v>
      </c>
      <c r="AE57" s="1081">
        <v>519</v>
      </c>
      <c r="AF57" s="1081">
        <v>709</v>
      </c>
      <c r="AG57" s="1081">
        <v>631.58299999999997</v>
      </c>
      <c r="AH57" s="1081">
        <v>611</v>
      </c>
      <c r="AI57" s="1081">
        <v>661.3</v>
      </c>
      <c r="AJ57" s="1081">
        <v>668</v>
      </c>
      <c r="AK57" s="1081">
        <v>506</v>
      </c>
      <c r="AL57" s="1081">
        <v>521</v>
      </c>
      <c r="AM57" s="1081">
        <v>495</v>
      </c>
      <c r="AN57" s="1081">
        <v>454</v>
      </c>
      <c r="AO57" s="1081">
        <v>533</v>
      </c>
      <c r="AP57" s="1081">
        <v>541</v>
      </c>
      <c r="AQ57" s="1081">
        <v>491</v>
      </c>
      <c r="AR57" s="1061"/>
      <c r="AS57" s="1061"/>
      <c r="AT57" s="1061"/>
      <c r="AU57" s="1061"/>
      <c r="AV57" s="1061"/>
      <c r="AW57" s="1061"/>
      <c r="AX57" s="1061"/>
      <c r="AY57" s="1061"/>
      <c r="AZ57" s="1061"/>
      <c r="BA57" s="1061"/>
      <c r="BB57" s="1061"/>
      <c r="BC57" s="1061"/>
      <c r="BD57" s="1061"/>
      <c r="BE57" s="1061"/>
      <c r="BF57" s="1061"/>
      <c r="BG57" s="1061"/>
      <c r="BH57" s="1061"/>
      <c r="BI57" s="1061"/>
      <c r="BJ57" s="1061"/>
      <c r="BK57" s="1061"/>
      <c r="BL57" s="1061"/>
      <c r="BM57" s="1061"/>
      <c r="BN57" s="1061"/>
      <c r="BO57" s="1061"/>
      <c r="BP57" s="1061"/>
      <c r="BQ57" s="1061"/>
      <c r="BR57" s="1061"/>
      <c r="BS57" s="1061"/>
      <c r="BT57" s="1061"/>
      <c r="BU57" s="1061"/>
      <c r="BV57" s="1061"/>
      <c r="BW57" s="1061"/>
      <c r="BX57" s="1061"/>
      <c r="BY57" s="1061"/>
      <c r="BZ57" s="1061"/>
      <c r="CA57" s="1061"/>
      <c r="CB57" s="1061"/>
      <c r="CC57" s="1061"/>
    </row>
    <row r="58" spans="1:81" s="280" customFormat="1" ht="13.5">
      <c r="A58" s="1113" t="s">
        <v>264</v>
      </c>
      <c r="B58" s="1114" t="s">
        <v>558</v>
      </c>
      <c r="C58" s="1114"/>
      <c r="D58" s="1088"/>
      <c r="E58" s="1088"/>
      <c r="F58" s="1088"/>
      <c r="G58" s="1088"/>
      <c r="H58" s="1088"/>
      <c r="I58" s="1088"/>
      <c r="J58" s="1088"/>
      <c r="K58" s="1088"/>
      <c r="L58" s="1088"/>
      <c r="M58" s="1088"/>
      <c r="N58" s="1088"/>
      <c r="O58" s="1088"/>
      <c r="P58" s="1088"/>
      <c r="Q58" s="1088"/>
      <c r="R58" s="1088"/>
      <c r="S58" s="1088"/>
      <c r="T58" s="1088"/>
      <c r="U58" s="1088"/>
      <c r="V58" s="1088"/>
      <c r="W58" s="1088"/>
      <c r="X58" s="1088"/>
      <c r="Y58" s="1081">
        <v>209</v>
      </c>
      <c r="Z58" s="1081">
        <v>245</v>
      </c>
      <c r="AA58" s="1081">
        <v>42</v>
      </c>
      <c r="AB58" s="1081">
        <v>42</v>
      </c>
      <c r="AC58" s="1081">
        <v>32</v>
      </c>
      <c r="AD58" s="1081">
        <v>26</v>
      </c>
      <c r="AE58" s="1081">
        <v>31</v>
      </c>
      <c r="AF58" s="1081">
        <v>28</v>
      </c>
      <c r="AG58" s="1081">
        <v>36</v>
      </c>
      <c r="AH58" s="1081">
        <v>28</v>
      </c>
      <c r="AI58" s="1081">
        <v>47.1</v>
      </c>
      <c r="AJ58" s="1081">
        <v>28</v>
      </c>
      <c r="AK58" s="1081">
        <v>21</v>
      </c>
      <c r="AL58" s="1081">
        <v>31</v>
      </c>
      <c r="AM58" s="1081">
        <v>41</v>
      </c>
      <c r="AN58" s="1081">
        <v>47</v>
      </c>
      <c r="AO58" s="1081">
        <v>46</v>
      </c>
      <c r="AP58" s="1081">
        <v>43</v>
      </c>
      <c r="AQ58" s="1081">
        <v>25</v>
      </c>
      <c r="AR58" s="1061"/>
      <c r="AS58" s="1061"/>
      <c r="AT58" s="1061"/>
      <c r="AU58" s="1061"/>
      <c r="AV58" s="1061"/>
      <c r="AW58" s="1061"/>
      <c r="AX58" s="1061"/>
      <c r="AY58" s="1061"/>
      <c r="AZ58" s="1061"/>
      <c r="BA58" s="1061"/>
      <c r="BB58" s="1061"/>
      <c r="BC58" s="1061"/>
      <c r="BD58" s="1061"/>
      <c r="BE58" s="1061"/>
      <c r="BF58" s="1061"/>
      <c r="BG58" s="1061"/>
      <c r="BH58" s="1061"/>
      <c r="BI58" s="1061"/>
      <c r="BJ58" s="1061"/>
      <c r="BK58" s="1061"/>
      <c r="BL58" s="1061"/>
      <c r="BM58" s="1061"/>
      <c r="BN58" s="1061"/>
      <c r="BO58" s="1061"/>
      <c r="BP58" s="1061"/>
      <c r="BQ58" s="1061"/>
      <c r="BR58" s="1061"/>
      <c r="BS58" s="1061"/>
      <c r="BT58" s="1061"/>
      <c r="BU58" s="1061"/>
      <c r="BV58" s="1061"/>
      <c r="BW58" s="1061"/>
      <c r="BX58" s="1061"/>
      <c r="BY58" s="1061"/>
      <c r="BZ58" s="1061"/>
      <c r="CA58" s="1061"/>
      <c r="CB58" s="1061"/>
      <c r="CC58" s="1061"/>
    </row>
    <row r="59" spans="1:81" s="280" customFormat="1" ht="13.5">
      <c r="A59" s="1113" t="s">
        <v>265</v>
      </c>
      <c r="B59" s="1114" t="s">
        <v>559</v>
      </c>
      <c r="C59" s="1114"/>
      <c r="D59" s="1088"/>
      <c r="E59" s="1088"/>
      <c r="F59" s="1088"/>
      <c r="G59" s="1088"/>
      <c r="H59" s="1088"/>
      <c r="I59" s="1088"/>
      <c r="J59" s="1088"/>
      <c r="K59" s="1088"/>
      <c r="L59" s="1088"/>
      <c r="M59" s="1088"/>
      <c r="N59" s="1088"/>
      <c r="O59" s="1088"/>
      <c r="P59" s="1088"/>
      <c r="Q59" s="1088"/>
      <c r="R59" s="1088"/>
      <c r="S59" s="1088"/>
      <c r="T59" s="1088"/>
      <c r="U59" s="1088"/>
      <c r="V59" s="1088"/>
      <c r="W59" s="1088"/>
      <c r="X59" s="1088"/>
      <c r="Y59" s="1081">
        <v>0</v>
      </c>
      <c r="Z59" s="1081">
        <v>0</v>
      </c>
      <c r="AA59" s="1081">
        <v>0</v>
      </c>
      <c r="AB59" s="1081">
        <v>0</v>
      </c>
      <c r="AC59" s="1081">
        <v>0</v>
      </c>
      <c r="AD59" s="1081">
        <v>0</v>
      </c>
      <c r="AE59" s="1081">
        <v>0</v>
      </c>
      <c r="AF59" s="1081">
        <v>0</v>
      </c>
      <c r="AG59" s="1081">
        <v>0</v>
      </c>
      <c r="AH59" s="1081">
        <v>0</v>
      </c>
      <c r="AI59" s="1081">
        <v>0</v>
      </c>
      <c r="AJ59" s="1081">
        <v>0</v>
      </c>
      <c r="AK59" s="1081">
        <v>0</v>
      </c>
      <c r="AL59" s="1081">
        <v>0</v>
      </c>
      <c r="AM59" s="1081">
        <v>0</v>
      </c>
      <c r="AN59" s="1081">
        <v>0</v>
      </c>
      <c r="AO59" s="1081">
        <v>0</v>
      </c>
      <c r="AP59" s="1081">
        <v>0</v>
      </c>
      <c r="AQ59" s="1081">
        <v>0</v>
      </c>
      <c r="AR59" s="1061"/>
      <c r="AS59" s="1061"/>
      <c r="AT59" s="1061"/>
      <c r="AU59" s="1061"/>
      <c r="AV59" s="1061"/>
      <c r="AW59" s="1061"/>
      <c r="AX59" s="1061"/>
      <c r="AY59" s="1061"/>
      <c r="AZ59" s="1061"/>
      <c r="BA59" s="1061"/>
      <c r="BB59" s="1061"/>
      <c r="BC59" s="1061"/>
      <c r="BD59" s="1061"/>
      <c r="BE59" s="1061"/>
      <c r="BF59" s="1061"/>
      <c r="BG59" s="1061"/>
      <c r="BH59" s="1061"/>
      <c r="BI59" s="1061"/>
      <c r="BJ59" s="1061"/>
      <c r="BK59" s="1061"/>
      <c r="BL59" s="1061"/>
      <c r="BM59" s="1061"/>
      <c r="BN59" s="1061"/>
      <c r="BO59" s="1061"/>
      <c r="BP59" s="1061"/>
      <c r="BQ59" s="1061"/>
      <c r="BR59" s="1061"/>
      <c r="BS59" s="1061"/>
      <c r="BT59" s="1061"/>
      <c r="BU59" s="1061"/>
      <c r="BV59" s="1061"/>
      <c r="BW59" s="1061"/>
      <c r="BX59" s="1061"/>
      <c r="BY59" s="1061"/>
      <c r="BZ59" s="1061"/>
      <c r="CA59" s="1061"/>
      <c r="CB59" s="1061"/>
      <c r="CC59" s="1061"/>
    </row>
    <row r="60" spans="1:81" s="280" customFormat="1" ht="13.5">
      <c r="A60" s="1111" t="s">
        <v>262</v>
      </c>
      <c r="B60" s="1112" t="s">
        <v>541</v>
      </c>
      <c r="C60" s="1112"/>
      <c r="D60" s="1081">
        <v>869.81</v>
      </c>
      <c r="E60" s="1081">
        <v>864.41300000000001</v>
      </c>
      <c r="F60" s="1081">
        <v>862.16</v>
      </c>
      <c r="G60" s="1081">
        <v>862.16</v>
      </c>
      <c r="H60" s="1081">
        <v>957.56399999999996</v>
      </c>
      <c r="I60" s="1081">
        <v>957.56399999999996</v>
      </c>
      <c r="J60" s="1081">
        <v>957.56399999999996</v>
      </c>
      <c r="K60" s="1081">
        <v>957.56399999999996</v>
      </c>
      <c r="L60" s="1081">
        <v>1010.59</v>
      </c>
      <c r="M60" s="1081">
        <v>757.94299999999998</v>
      </c>
      <c r="N60" s="1081">
        <v>757.94</v>
      </c>
      <c r="O60" s="1081">
        <v>757.9</v>
      </c>
      <c r="P60" s="1081">
        <v>820</v>
      </c>
      <c r="Q60" s="1081">
        <v>820</v>
      </c>
      <c r="R60" s="1081">
        <v>820</v>
      </c>
      <c r="S60" s="1081">
        <v>567</v>
      </c>
      <c r="T60" s="1081">
        <v>551</v>
      </c>
      <c r="U60" s="1081">
        <v>554</v>
      </c>
      <c r="V60" s="1081">
        <v>528</v>
      </c>
      <c r="W60" s="1081">
        <v>540</v>
      </c>
      <c r="X60" s="1081">
        <v>538</v>
      </c>
      <c r="Y60" s="1081">
        <v>555</v>
      </c>
      <c r="Z60" s="1081">
        <v>565</v>
      </c>
      <c r="AA60" s="1081">
        <v>656</v>
      </c>
      <c r="AB60" s="1081">
        <v>645</v>
      </c>
      <c r="AC60" s="1081">
        <v>628</v>
      </c>
      <c r="AD60" s="1081">
        <v>569</v>
      </c>
      <c r="AE60" s="1081">
        <v>543</v>
      </c>
      <c r="AF60" s="1081">
        <v>544</v>
      </c>
      <c r="AG60" s="1081">
        <v>516</v>
      </c>
      <c r="AH60" s="1081">
        <v>504</v>
      </c>
      <c r="AI60" s="1081">
        <v>482.3</v>
      </c>
      <c r="AJ60" s="1081">
        <v>480</v>
      </c>
      <c r="AK60" s="1081">
        <v>420</v>
      </c>
      <c r="AL60" s="1081">
        <v>451</v>
      </c>
      <c r="AM60" s="1081">
        <v>455</v>
      </c>
      <c r="AN60" s="1081">
        <v>477</v>
      </c>
      <c r="AO60" s="1081">
        <v>500</v>
      </c>
      <c r="AP60" s="1081">
        <v>516</v>
      </c>
      <c r="AQ60" s="1081">
        <v>437</v>
      </c>
      <c r="AR60" s="1061"/>
      <c r="AS60" s="1061"/>
      <c r="AT60" s="1061"/>
      <c r="AU60" s="1061"/>
      <c r="AV60" s="1061"/>
      <c r="AW60" s="1061"/>
      <c r="AX60" s="1061"/>
      <c r="AY60" s="1061"/>
      <c r="AZ60" s="1061"/>
      <c r="BA60" s="1061"/>
      <c r="BB60" s="1061"/>
      <c r="BC60" s="1061"/>
      <c r="BD60" s="1061"/>
      <c r="BE60" s="1061"/>
      <c r="BF60" s="1061"/>
      <c r="BG60" s="1061"/>
      <c r="BH60" s="1061"/>
      <c r="BI60" s="1061"/>
      <c r="BJ60" s="1061"/>
      <c r="BK60" s="1061"/>
      <c r="BL60" s="1061"/>
      <c r="BM60" s="1061"/>
      <c r="BN60" s="1061"/>
      <c r="BO60" s="1061"/>
      <c r="BP60" s="1061"/>
      <c r="BQ60" s="1061"/>
      <c r="BR60" s="1061"/>
      <c r="BS60" s="1061"/>
      <c r="BT60" s="1061"/>
      <c r="BU60" s="1061"/>
      <c r="BV60" s="1061"/>
      <c r="BW60" s="1061"/>
      <c r="BX60" s="1061"/>
      <c r="BY60" s="1061"/>
      <c r="BZ60" s="1061"/>
      <c r="CA60" s="1061"/>
      <c r="CB60" s="1061"/>
      <c r="CC60" s="1061"/>
    </row>
    <row r="61" spans="1:81" s="278" customFormat="1">
      <c r="A61" s="1115" t="s">
        <v>312</v>
      </c>
      <c r="B61" s="1116" t="s">
        <v>544</v>
      </c>
      <c r="C61" s="1116"/>
      <c r="D61" s="1077">
        <f t="shared" ref="D61:AP61" si="9">D56+D57+D58+D59+D60</f>
        <v>8981.6649999999991</v>
      </c>
      <c r="E61" s="1077">
        <f t="shared" si="9"/>
        <v>9041.2919999999995</v>
      </c>
      <c r="F61" s="1077">
        <f t="shared" si="9"/>
        <v>9228.4850000000006</v>
      </c>
      <c r="G61" s="1077">
        <f t="shared" si="9"/>
        <v>9405.32</v>
      </c>
      <c r="H61" s="1077">
        <f t="shared" si="9"/>
        <v>9749.6680000000015</v>
      </c>
      <c r="I61" s="1077">
        <f t="shared" si="9"/>
        <v>10659.334000000001</v>
      </c>
      <c r="J61" s="1077">
        <f t="shared" si="9"/>
        <v>10838.972</v>
      </c>
      <c r="K61" s="1077">
        <f t="shared" si="9"/>
        <v>11049.447</v>
      </c>
      <c r="L61" s="1077">
        <f t="shared" si="9"/>
        <v>11328.204</v>
      </c>
      <c r="M61" s="1077">
        <f t="shared" si="9"/>
        <v>11420.887999999999</v>
      </c>
      <c r="N61" s="1077">
        <f t="shared" si="9"/>
        <v>11759.299000000001</v>
      </c>
      <c r="O61" s="1077">
        <f t="shared" si="9"/>
        <v>11635.332999999999</v>
      </c>
      <c r="P61" s="1077">
        <f t="shared" si="9"/>
        <v>11619</v>
      </c>
      <c r="Q61" s="1077">
        <f t="shared" si="9"/>
        <v>12445</v>
      </c>
      <c r="R61" s="1077">
        <f t="shared" si="9"/>
        <v>12550</v>
      </c>
      <c r="S61" s="1077">
        <f t="shared" si="9"/>
        <v>12283</v>
      </c>
      <c r="T61" s="1077">
        <f t="shared" si="9"/>
        <v>12502</v>
      </c>
      <c r="U61" s="1077">
        <f t="shared" si="9"/>
        <v>12585</v>
      </c>
      <c r="V61" s="1077">
        <f t="shared" si="9"/>
        <v>12316</v>
      </c>
      <c r="W61" s="1077">
        <f t="shared" si="9"/>
        <v>12272</v>
      </c>
      <c r="X61" s="1077">
        <f t="shared" si="9"/>
        <v>12402</v>
      </c>
      <c r="Y61" s="1077">
        <f t="shared" si="9"/>
        <v>13379</v>
      </c>
      <c r="Z61" s="1077">
        <f t="shared" si="9"/>
        <v>13539</v>
      </c>
      <c r="AA61" s="1077">
        <f t="shared" si="9"/>
        <v>14890</v>
      </c>
      <c r="AB61" s="1077">
        <f t="shared" si="9"/>
        <v>15097</v>
      </c>
      <c r="AC61" s="1077">
        <f t="shared" si="9"/>
        <v>15265</v>
      </c>
      <c r="AD61" s="1077">
        <f t="shared" si="9"/>
        <v>14558</v>
      </c>
      <c r="AE61" s="1077">
        <f t="shared" si="9"/>
        <v>14269</v>
      </c>
      <c r="AF61" s="1077">
        <f t="shared" si="9"/>
        <v>14135</v>
      </c>
      <c r="AG61" s="1077">
        <f t="shared" si="9"/>
        <v>14116.349</v>
      </c>
      <c r="AH61" s="1077">
        <f t="shared" si="9"/>
        <v>13927</v>
      </c>
      <c r="AI61" s="1077">
        <f t="shared" si="9"/>
        <v>14489.4</v>
      </c>
      <c r="AJ61" s="1077">
        <f t="shared" si="9"/>
        <v>14400</v>
      </c>
      <c r="AK61" s="1077">
        <f t="shared" si="9"/>
        <v>13616</v>
      </c>
      <c r="AL61" s="1077">
        <f t="shared" si="9"/>
        <v>13539</v>
      </c>
      <c r="AM61" s="1077">
        <f t="shared" si="9"/>
        <v>14008</v>
      </c>
      <c r="AN61" s="1077">
        <f t="shared" si="9"/>
        <v>14234</v>
      </c>
      <c r="AO61" s="1077">
        <f t="shared" si="9"/>
        <v>14705</v>
      </c>
      <c r="AP61" s="1077">
        <f t="shared" si="9"/>
        <v>14390</v>
      </c>
      <c r="AQ61" s="1078">
        <f>AQ56+AQ57+AQ58+AQ59+AQ60</f>
        <v>14169</v>
      </c>
      <c r="AR61" s="1060"/>
      <c r="AS61" s="1060"/>
      <c r="AT61" s="1060"/>
      <c r="AU61" s="1060"/>
      <c r="AV61" s="1060"/>
      <c r="AW61" s="1060"/>
      <c r="AX61" s="1060"/>
      <c r="AY61" s="1060"/>
      <c r="AZ61" s="1060"/>
      <c r="BA61" s="1060"/>
      <c r="BB61" s="1060"/>
      <c r="BC61" s="1060"/>
      <c r="BD61" s="1060"/>
      <c r="BE61" s="1060"/>
      <c r="BF61" s="1060"/>
      <c r="BG61" s="1060"/>
      <c r="BH61" s="1060"/>
      <c r="BI61" s="1060"/>
      <c r="BJ61" s="1060"/>
      <c r="BK61" s="1060"/>
      <c r="BL61" s="1060"/>
      <c r="BM61" s="1060"/>
      <c r="BN61" s="1060"/>
      <c r="BO61" s="1060"/>
      <c r="BP61" s="1060"/>
      <c r="BQ61" s="1060"/>
      <c r="BR61" s="1060"/>
      <c r="BS61" s="1060"/>
      <c r="BT61" s="1060"/>
      <c r="BU61" s="1060"/>
      <c r="BV61" s="1060"/>
      <c r="BW61" s="1060"/>
      <c r="BX61" s="1060"/>
      <c r="BY61" s="1060"/>
      <c r="BZ61" s="1060"/>
      <c r="CA61" s="1060"/>
      <c r="CB61" s="1060"/>
      <c r="CC61" s="1060"/>
    </row>
    <row r="62" spans="1:81" s="278" customFormat="1" ht="12" customHeight="1">
      <c r="A62" s="1115"/>
      <c r="B62" s="1116"/>
      <c r="C62" s="1116"/>
      <c r="D62" s="1077"/>
      <c r="E62" s="1077"/>
      <c r="F62" s="1077"/>
      <c r="G62" s="1077"/>
      <c r="H62" s="1077"/>
      <c r="I62" s="1077"/>
      <c r="J62" s="1077"/>
      <c r="K62" s="1077"/>
      <c r="L62" s="1077"/>
      <c r="M62" s="1077"/>
      <c r="N62" s="1077"/>
      <c r="O62" s="1077"/>
      <c r="P62" s="1077"/>
      <c r="Q62" s="1077"/>
      <c r="R62" s="1077"/>
      <c r="S62" s="1077"/>
      <c r="T62" s="1077"/>
      <c r="U62" s="1077"/>
      <c r="V62" s="1077"/>
      <c r="W62" s="1077"/>
      <c r="X62" s="1077"/>
      <c r="Y62" s="1077"/>
      <c r="Z62" s="1077"/>
      <c r="AA62" s="1077"/>
      <c r="AB62" s="1077"/>
      <c r="AC62" s="1077"/>
      <c r="AD62" s="1077"/>
      <c r="AE62" s="1077"/>
      <c r="AF62" s="1077"/>
      <c r="AG62" s="1077"/>
      <c r="AH62" s="1077"/>
      <c r="AI62" s="1077"/>
      <c r="AJ62" s="1077"/>
      <c r="AK62" s="1077"/>
      <c r="AL62" s="1077"/>
      <c r="AM62" s="1077"/>
      <c r="AN62" s="1077"/>
      <c r="AO62" s="1077"/>
      <c r="AP62" s="1077"/>
      <c r="AQ62" s="1077"/>
      <c r="AR62" s="1060"/>
      <c r="AS62" s="1060"/>
      <c r="AT62" s="1060"/>
      <c r="AU62" s="1060"/>
      <c r="AV62" s="1060"/>
      <c r="AW62" s="1060"/>
      <c r="AX62" s="1060"/>
      <c r="AY62" s="1060"/>
      <c r="AZ62" s="1060"/>
      <c r="BA62" s="1060"/>
      <c r="BB62" s="1060"/>
      <c r="BC62" s="1060"/>
      <c r="BD62" s="1060"/>
      <c r="BE62" s="1060"/>
      <c r="BF62" s="1060"/>
      <c r="BG62" s="1060"/>
      <c r="BH62" s="1060"/>
      <c r="BI62" s="1060"/>
      <c r="BJ62" s="1060"/>
      <c r="BK62" s="1060"/>
      <c r="BL62" s="1060"/>
      <c r="BM62" s="1060"/>
      <c r="BN62" s="1060"/>
      <c r="BO62" s="1060"/>
      <c r="BP62" s="1060"/>
      <c r="BQ62" s="1060"/>
      <c r="BR62" s="1060"/>
      <c r="BS62" s="1060"/>
      <c r="BT62" s="1060"/>
      <c r="BU62" s="1060"/>
      <c r="BV62" s="1060"/>
      <c r="BW62" s="1060"/>
      <c r="BX62" s="1060"/>
      <c r="BY62" s="1060"/>
      <c r="BZ62" s="1060"/>
      <c r="CA62" s="1060"/>
      <c r="CB62" s="1060"/>
      <c r="CC62" s="1060"/>
    </row>
    <row r="63" spans="1:81">
      <c r="A63" s="1119" t="s">
        <v>266</v>
      </c>
      <c r="B63" s="1120" t="s">
        <v>545</v>
      </c>
      <c r="C63" s="1120"/>
      <c r="D63" s="1130">
        <f>D53/(12.5*D61)</f>
        <v>0.10646757366256704</v>
      </c>
      <c r="E63" s="1121">
        <f t="shared" ref="E63:AL63" si="10">E53/(12.5*E61)</f>
        <v>0.10684916270816161</v>
      </c>
      <c r="F63" s="1121">
        <f t="shared" si="10"/>
        <v>0.10482995637962243</v>
      </c>
      <c r="G63" s="1121">
        <f t="shared" si="10"/>
        <v>0.1441271960975278</v>
      </c>
      <c r="H63" s="1121">
        <f t="shared" si="10"/>
        <v>0.14809145090889247</v>
      </c>
      <c r="I63" s="1121">
        <f t="shared" si="10"/>
        <v>0.12512736724452017</v>
      </c>
      <c r="J63" s="1121">
        <f t="shared" si="10"/>
        <v>0.12334196268797447</v>
      </c>
      <c r="K63" s="1121">
        <f t="shared" si="10"/>
        <v>0.11991976069028616</v>
      </c>
      <c r="L63" s="1121">
        <f t="shared" si="10"/>
        <v>0.1298734803857699</v>
      </c>
      <c r="M63" s="1121">
        <f t="shared" si="10"/>
        <v>0.12170924712684338</v>
      </c>
      <c r="N63" s="1121">
        <f t="shared" si="10"/>
        <v>0.11806370430754416</v>
      </c>
      <c r="O63" s="1121">
        <f t="shared" si="10"/>
        <v>0.11927545863964531</v>
      </c>
      <c r="P63" s="1121">
        <f t="shared" si="10"/>
        <v>0.13586548239951801</v>
      </c>
      <c r="Q63" s="1121">
        <f t="shared" si="10"/>
        <v>0.12737967055042185</v>
      </c>
      <c r="R63" s="1121">
        <f t="shared" si="10"/>
        <v>0.12622852589641434</v>
      </c>
      <c r="S63" s="1121">
        <f t="shared" si="10"/>
        <v>0.12740861353089636</v>
      </c>
      <c r="T63" s="1121">
        <f t="shared" si="10"/>
        <v>0.13463603263477844</v>
      </c>
      <c r="U63" s="1121">
        <f t="shared" si="10"/>
        <v>0.1333969010727056</v>
      </c>
      <c r="V63" s="1121">
        <f t="shared" si="10"/>
        <v>0.13558038324131211</v>
      </c>
      <c r="W63" s="1121">
        <f t="shared" si="10"/>
        <v>0.13379400260756194</v>
      </c>
      <c r="X63" s="1121">
        <f t="shared" si="10"/>
        <v>0.13288068376068377</v>
      </c>
      <c r="Y63" s="1121">
        <f t="shared" si="10"/>
        <v>0.13206124224530982</v>
      </c>
      <c r="Z63" s="1121">
        <f t="shared" si="10"/>
        <v>0.13690110643326686</v>
      </c>
      <c r="AA63" s="1121">
        <f t="shared" si="10"/>
        <v>0.13367360644728005</v>
      </c>
      <c r="AB63" s="1121">
        <f t="shared" si="10"/>
        <v>0.13548122143472213</v>
      </c>
      <c r="AC63" s="1121">
        <f t="shared" si="10"/>
        <v>0.14264911889944321</v>
      </c>
      <c r="AD63" s="1121">
        <f t="shared" si="10"/>
        <v>0.14988553372716032</v>
      </c>
      <c r="AE63" s="1121">
        <f t="shared" si="10"/>
        <v>0.15277090195528767</v>
      </c>
      <c r="AF63" s="1121">
        <f t="shared" si="10"/>
        <v>0.16273731871241601</v>
      </c>
      <c r="AG63" s="1121">
        <f t="shared" si="10"/>
        <v>0.1611051129438639</v>
      </c>
      <c r="AH63" s="1121">
        <f t="shared" si="10"/>
        <v>0.17026495296905292</v>
      </c>
      <c r="AI63" s="1121">
        <f t="shared" si="10"/>
        <v>0.17187295540188002</v>
      </c>
      <c r="AJ63" s="1121">
        <f t="shared" si="10"/>
        <v>0.16941666666666666</v>
      </c>
      <c r="AK63" s="1121">
        <f t="shared" si="10"/>
        <v>0.18819623971797886</v>
      </c>
      <c r="AL63" s="1121">
        <f t="shared" si="10"/>
        <v>0.19713715931752715</v>
      </c>
      <c r="AM63" s="1121">
        <f>AM53/(12.5*AM61)</f>
        <v>0.19587093089663049</v>
      </c>
      <c r="AN63" s="1121">
        <f>AN53/(12.5*AN61)+0.01%</f>
        <v>0.20034729520865532</v>
      </c>
      <c r="AO63" s="1121">
        <f>AO53/(12.5*AO61)</f>
        <v>0.19503570214212854</v>
      </c>
      <c r="AP63" s="1121">
        <f>AP53/(12.5*AP61)</f>
        <v>0.20684920083391245</v>
      </c>
      <c r="AQ63" s="1121">
        <f>AQ53/(12.5*AQ61)</f>
        <v>0.21325428752911285</v>
      </c>
    </row>
    <row r="64" spans="1:81">
      <c r="A64" s="1119" t="s">
        <v>267</v>
      </c>
      <c r="B64" s="1120" t="s">
        <v>546</v>
      </c>
      <c r="C64" s="1120"/>
      <c r="D64" s="1121">
        <f t="shared" ref="D64:AQ64" si="11">D37/(12.5*D61)</f>
        <v>9.6121456322407942E-2</v>
      </c>
      <c r="E64" s="1121">
        <f t="shared" si="11"/>
        <v>9.6074631811471189E-2</v>
      </c>
      <c r="F64" s="1121">
        <f t="shared" si="11"/>
        <v>9.371134698707316E-2</v>
      </c>
      <c r="G64" s="1121">
        <f t="shared" si="11"/>
        <v>0.13401362633062991</v>
      </c>
      <c r="H64" s="1121">
        <f t="shared" si="11"/>
        <v>0.13983438205280427</v>
      </c>
      <c r="I64" s="1121">
        <f t="shared" si="11"/>
        <v>0.11739856917889993</v>
      </c>
      <c r="J64" s="1121">
        <f t="shared" si="11"/>
        <v>0.11534435553482379</v>
      </c>
      <c r="K64" s="1121">
        <f t="shared" si="11"/>
        <v>0.11185893375478431</v>
      </c>
      <c r="L64" s="1121">
        <f t="shared" si="11"/>
        <v>0.12274882055443213</v>
      </c>
      <c r="M64" s="1121">
        <f t="shared" si="11"/>
        <v>0.11422048443168342</v>
      </c>
      <c r="N64" s="1121">
        <f t="shared" si="11"/>
        <v>0.11063666295074219</v>
      </c>
      <c r="O64" s="1121">
        <f t="shared" si="11"/>
        <v>0.11155414976090501</v>
      </c>
      <c r="P64" s="1121">
        <f t="shared" si="11"/>
        <v>0.1288719029176349</v>
      </c>
      <c r="Q64" s="1121">
        <f t="shared" si="11"/>
        <v>0.12055283246283648</v>
      </c>
      <c r="R64" s="1121">
        <f t="shared" si="11"/>
        <v>0.11935043824701194</v>
      </c>
      <c r="S64" s="1121">
        <f t="shared" si="11"/>
        <v>0.1194822111861923</v>
      </c>
      <c r="T64" s="1121">
        <f t="shared" si="11"/>
        <v>0.1277571332586786</v>
      </c>
      <c r="U64" s="1121">
        <f t="shared" si="11"/>
        <v>0.12620103297576479</v>
      </c>
      <c r="V64" s="1121">
        <f t="shared" si="11"/>
        <v>0.12857161416044169</v>
      </c>
      <c r="W64" s="1121">
        <f t="shared" si="11"/>
        <v>0.12612125162972621</v>
      </c>
      <c r="X64" s="1121">
        <f t="shared" si="11"/>
        <v>0.12511765199161426</v>
      </c>
      <c r="Y64" s="1121">
        <f t="shared" si="11"/>
        <v>0.12899972793183348</v>
      </c>
      <c r="Z64" s="1121">
        <f t="shared" si="11"/>
        <v>0.13364532683359184</v>
      </c>
      <c r="AA64" s="1121">
        <f t="shared" si="11"/>
        <v>0.12120349227669577</v>
      </c>
      <c r="AB64" s="1121">
        <f t="shared" si="11"/>
        <v>0.12285354706233026</v>
      </c>
      <c r="AC64" s="1121">
        <f t="shared" si="11"/>
        <v>0.12999952833278744</v>
      </c>
      <c r="AD64" s="1121">
        <f t="shared" si="11"/>
        <v>0.13660348949031459</v>
      </c>
      <c r="AE64" s="1121">
        <f t="shared" si="11"/>
        <v>0.13915817506482583</v>
      </c>
      <c r="AF64" s="1121">
        <f t="shared" si="11"/>
        <v>0.14906911920764063</v>
      </c>
      <c r="AG64" s="1121">
        <f t="shared" si="11"/>
        <v>0.14723183735397871</v>
      </c>
      <c r="AH64" s="1121">
        <f t="shared" si="11"/>
        <v>0.15630071084942918</v>
      </c>
      <c r="AI64" s="1121">
        <f t="shared" si="11"/>
        <v>0.15831214543045263</v>
      </c>
      <c r="AJ64" s="1121">
        <f t="shared" si="11"/>
        <v>0.16091666666666668</v>
      </c>
      <c r="AK64" s="1121">
        <f t="shared" si="11"/>
        <v>0.17918331374853114</v>
      </c>
      <c r="AL64" s="1121">
        <f t="shared" si="11"/>
        <v>0.18748208878055986</v>
      </c>
      <c r="AM64" s="1121">
        <f t="shared" si="11"/>
        <v>0.18616219303255283</v>
      </c>
      <c r="AN64" s="1121">
        <f t="shared" si="11"/>
        <v>0.18507236195025994</v>
      </c>
      <c r="AO64" s="1121">
        <f t="shared" si="11"/>
        <v>0.18034682080924855</v>
      </c>
      <c r="AP64" s="1121">
        <f t="shared" si="11"/>
        <v>0.19183877692842252</v>
      </c>
      <c r="AQ64" s="1121">
        <f t="shared" si="11"/>
        <v>0.19800973957230575</v>
      </c>
    </row>
    <row r="65" spans="2:43" s="1059" customFormat="1">
      <c r="B65" s="1065"/>
      <c r="C65" s="1065"/>
      <c r="AQ65" s="1066"/>
    </row>
    <row r="66" spans="2:43" s="1059" customFormat="1">
      <c r="D66" s="1067"/>
      <c r="F66" s="1067"/>
      <c r="G66" s="1068"/>
      <c r="AN66" s="1067"/>
      <c r="AQ66" s="1066"/>
    </row>
    <row r="67" spans="2:43" s="1059" customFormat="1">
      <c r="AQ67" s="1066"/>
    </row>
    <row r="68" spans="2:43" s="1059" customFormat="1">
      <c r="AQ68" s="1066"/>
    </row>
    <row r="69" spans="2:43" s="1059" customFormat="1">
      <c r="AQ69" s="1066"/>
    </row>
    <row r="70" spans="2:43" s="1059" customFormat="1">
      <c r="AQ70" s="1066"/>
    </row>
    <row r="71" spans="2:43" s="1059" customFormat="1">
      <c r="AQ71" s="1066"/>
    </row>
    <row r="72" spans="2:43" s="1059" customFormat="1">
      <c r="AQ72" s="1066"/>
    </row>
    <row r="73" spans="2:43" s="1059" customFormat="1">
      <c r="AQ73" s="1066"/>
    </row>
    <row r="74" spans="2:43" s="1059" customFormat="1">
      <c r="AQ74" s="1066"/>
    </row>
    <row r="75" spans="2:43" s="1059" customFormat="1">
      <c r="AQ75" s="1066"/>
    </row>
    <row r="76" spans="2:43" s="1059" customFormat="1">
      <c r="AQ76" s="1066"/>
    </row>
    <row r="77" spans="2:43" s="1059" customFormat="1">
      <c r="AQ77" s="1066"/>
    </row>
    <row r="78" spans="2:43" s="1059" customFormat="1">
      <c r="AQ78" s="1066"/>
    </row>
    <row r="79" spans="2:43" s="1059" customFormat="1">
      <c r="AQ79" s="1066"/>
    </row>
    <row r="80" spans="2:43" s="1059" customFormat="1">
      <c r="AQ80" s="1066"/>
    </row>
    <row r="81" spans="43:43" s="1059" customFormat="1">
      <c r="AQ81" s="1066"/>
    </row>
    <row r="82" spans="43:43" s="1059" customFormat="1">
      <c r="AQ82" s="1066"/>
    </row>
    <row r="83" spans="43:43" s="1059" customFormat="1">
      <c r="AQ83" s="1066"/>
    </row>
    <row r="84" spans="43:43" s="1059" customFormat="1">
      <c r="AQ84" s="1066"/>
    </row>
    <row r="85" spans="43:43" s="1059" customFormat="1">
      <c r="AQ85" s="1066"/>
    </row>
    <row r="86" spans="43:43" s="1059" customFormat="1">
      <c r="AQ86" s="1066"/>
    </row>
    <row r="87" spans="43:43" s="1059" customFormat="1">
      <c r="AQ87" s="1066"/>
    </row>
    <row r="88" spans="43:43" s="1059" customFormat="1">
      <c r="AQ88" s="1066"/>
    </row>
    <row r="89" spans="43:43" s="1059" customFormat="1">
      <c r="AQ89" s="1066"/>
    </row>
    <row r="90" spans="43:43" s="1059" customFormat="1">
      <c r="AQ90" s="1066"/>
    </row>
    <row r="91" spans="43:43" s="1059" customFormat="1">
      <c r="AQ91" s="1066"/>
    </row>
    <row r="92" spans="43:43" s="1059" customFormat="1">
      <c r="AQ92" s="1066"/>
    </row>
    <row r="93" spans="43:43" s="1059" customFormat="1">
      <c r="AQ93" s="1066"/>
    </row>
    <row r="94" spans="43:43" s="1059" customFormat="1">
      <c r="AQ94" s="1066"/>
    </row>
    <row r="95" spans="43:43" s="1059" customFormat="1">
      <c r="AQ95" s="1066"/>
    </row>
    <row r="96" spans="43:43" s="1059" customFormat="1">
      <c r="AQ96" s="1066"/>
    </row>
    <row r="97" spans="43:43" s="1059" customFormat="1">
      <c r="AQ97" s="1066"/>
    </row>
    <row r="98" spans="43:43" s="1059" customFormat="1">
      <c r="AQ98" s="1066"/>
    </row>
    <row r="99" spans="43:43" s="1059" customFormat="1">
      <c r="AQ99" s="1066"/>
    </row>
    <row r="100" spans="43:43" s="1059" customFormat="1">
      <c r="AQ100" s="1066"/>
    </row>
    <row r="101" spans="43:43" s="1059" customFormat="1">
      <c r="AQ101" s="1066"/>
    </row>
    <row r="102" spans="43:43" s="1059" customFormat="1">
      <c r="AQ102" s="1066"/>
    </row>
    <row r="103" spans="43:43" s="1059" customFormat="1">
      <c r="AQ103" s="1066"/>
    </row>
    <row r="104" spans="43:43" s="1059" customFormat="1">
      <c r="AQ104" s="1066"/>
    </row>
    <row r="105" spans="43:43" s="1059" customFormat="1">
      <c r="AQ105" s="1066"/>
    </row>
    <row r="106" spans="43:43" s="1059" customFormat="1">
      <c r="AQ106" s="1066"/>
    </row>
    <row r="107" spans="43:43" s="1059" customFormat="1">
      <c r="AQ107" s="1066"/>
    </row>
    <row r="108" spans="43:43" s="1059" customFormat="1">
      <c r="AQ108" s="1066"/>
    </row>
    <row r="109" spans="43:43" s="1059" customFormat="1">
      <c r="AQ109" s="1066"/>
    </row>
    <row r="110" spans="43:43" s="1059" customFormat="1">
      <c r="AQ110" s="1066"/>
    </row>
    <row r="111" spans="43:43" s="1059" customFormat="1">
      <c r="AQ111" s="1066"/>
    </row>
    <row r="112" spans="43:43" s="1059" customFormat="1">
      <c r="AQ112" s="1066"/>
    </row>
    <row r="113" spans="43:43" s="1059" customFormat="1">
      <c r="AQ113" s="1066"/>
    </row>
    <row r="114" spans="43:43" s="1059" customFormat="1">
      <c r="AQ114" s="1066"/>
    </row>
    <row r="115" spans="43:43" s="1059" customFormat="1">
      <c r="AQ115" s="1066"/>
    </row>
    <row r="116" spans="43:43" s="1059" customFormat="1">
      <c r="AQ116" s="1066"/>
    </row>
    <row r="117" spans="43:43" s="1059" customFormat="1">
      <c r="AQ117" s="1066"/>
    </row>
    <row r="118" spans="43:43" s="1059" customFormat="1">
      <c r="AQ118" s="1066"/>
    </row>
    <row r="119" spans="43:43" s="1059" customFormat="1">
      <c r="AQ119" s="1066"/>
    </row>
    <row r="120" spans="43:43" s="1059" customFormat="1">
      <c r="AQ120" s="1066"/>
    </row>
    <row r="121" spans="43:43" s="1059" customFormat="1">
      <c r="AQ121" s="1066"/>
    </row>
    <row r="122" spans="43:43" s="1059" customFormat="1">
      <c r="AQ122" s="1066"/>
    </row>
    <row r="123" spans="43:43" s="1059" customFormat="1">
      <c r="AQ123" s="1066"/>
    </row>
    <row r="124" spans="43:43" s="1059" customFormat="1">
      <c r="AQ124" s="1066"/>
    </row>
    <row r="125" spans="43:43" s="1059" customFormat="1">
      <c r="AQ125" s="1066"/>
    </row>
    <row r="126" spans="43:43" s="1059" customFormat="1">
      <c r="AQ126" s="1066"/>
    </row>
    <row r="127" spans="43:43" s="1059" customFormat="1">
      <c r="AQ127" s="1066"/>
    </row>
    <row r="128" spans="43:43" s="1059" customFormat="1">
      <c r="AQ128" s="1066"/>
    </row>
    <row r="129" spans="43:43" s="1059" customFormat="1">
      <c r="AQ129" s="1066"/>
    </row>
    <row r="130" spans="43:43" s="1059" customFormat="1">
      <c r="AQ130" s="1066"/>
    </row>
    <row r="131" spans="43:43" s="1059" customFormat="1">
      <c r="AQ131" s="1066"/>
    </row>
    <row r="132" spans="43:43" s="1059" customFormat="1">
      <c r="AQ132" s="1066"/>
    </row>
    <row r="133" spans="43:43" s="1059" customFormat="1">
      <c r="AQ133" s="1066"/>
    </row>
    <row r="134" spans="43:43" s="1059" customFormat="1">
      <c r="AQ134" s="1066"/>
    </row>
    <row r="135" spans="43:43" s="1059" customFormat="1">
      <c r="AQ135" s="1066"/>
    </row>
    <row r="136" spans="43:43" s="1059" customFormat="1">
      <c r="AQ136" s="1066"/>
    </row>
    <row r="137" spans="43:43" s="1059" customFormat="1">
      <c r="AQ137" s="1066"/>
    </row>
    <row r="138" spans="43:43" s="1059" customFormat="1">
      <c r="AQ138" s="1066"/>
    </row>
    <row r="139" spans="43:43" s="1059" customFormat="1">
      <c r="AQ139" s="1066"/>
    </row>
    <row r="140" spans="43:43" s="1059" customFormat="1">
      <c r="AQ140" s="1066"/>
    </row>
    <row r="141" spans="43:43" s="1059" customFormat="1">
      <c r="AQ141" s="1066"/>
    </row>
    <row r="142" spans="43:43" s="1059" customFormat="1">
      <c r="AQ142" s="1066"/>
    </row>
    <row r="143" spans="43:43" s="1059" customFormat="1">
      <c r="AQ143" s="1066"/>
    </row>
    <row r="144" spans="43:43" s="1059" customFormat="1">
      <c r="AQ144" s="1066"/>
    </row>
    <row r="145" spans="43:43" s="1059" customFormat="1">
      <c r="AQ145" s="1066"/>
    </row>
    <row r="146" spans="43:43" s="1059" customFormat="1">
      <c r="AQ146" s="1066"/>
    </row>
    <row r="147" spans="43:43" s="1059" customFormat="1">
      <c r="AQ147" s="1066"/>
    </row>
    <row r="148" spans="43:43" s="1059" customFormat="1">
      <c r="AQ148" s="1066"/>
    </row>
    <row r="149" spans="43:43" s="1059" customFormat="1">
      <c r="AQ149" s="1066"/>
    </row>
    <row r="150" spans="43:43" s="1059" customFormat="1">
      <c r="AQ150" s="1066"/>
    </row>
    <row r="151" spans="43:43" s="1059" customFormat="1">
      <c r="AQ151" s="1066"/>
    </row>
    <row r="152" spans="43:43" s="1059" customFormat="1">
      <c r="AQ152" s="1066"/>
    </row>
    <row r="153" spans="43:43" s="1059" customFormat="1">
      <c r="AQ153" s="1066"/>
    </row>
    <row r="154" spans="43:43" s="1059" customFormat="1">
      <c r="AQ154" s="1066"/>
    </row>
    <row r="155" spans="43:43" s="1059" customFormat="1">
      <c r="AQ155" s="1066"/>
    </row>
    <row r="156" spans="43:43" s="1059" customFormat="1">
      <c r="AQ156" s="1066"/>
    </row>
    <row r="157" spans="43:43" s="1059" customFormat="1">
      <c r="AQ157" s="1066"/>
    </row>
    <row r="158" spans="43:43" s="1059" customFormat="1">
      <c r="AQ158" s="1066"/>
    </row>
    <row r="159" spans="43:43" s="1059" customFormat="1">
      <c r="AQ159" s="1066"/>
    </row>
    <row r="160" spans="43:43" s="1059" customFormat="1">
      <c r="AQ160" s="1066"/>
    </row>
    <row r="161" spans="43:43" s="1059" customFormat="1">
      <c r="AQ161" s="1066"/>
    </row>
    <row r="162" spans="43:43" s="1059" customFormat="1">
      <c r="AQ162" s="1066"/>
    </row>
    <row r="163" spans="43:43" s="1059" customFormat="1">
      <c r="AQ163" s="1066"/>
    </row>
    <row r="164" spans="43:43" s="1059" customFormat="1">
      <c r="AQ164" s="1066"/>
    </row>
    <row r="165" spans="43:43" s="1059" customFormat="1">
      <c r="AQ165" s="1066"/>
    </row>
    <row r="166" spans="43:43" s="1059" customFormat="1">
      <c r="AQ166" s="1066"/>
    </row>
    <row r="167" spans="43:43" s="1059" customFormat="1">
      <c r="AQ167" s="1066"/>
    </row>
    <row r="168" spans="43:43" s="1059" customFormat="1">
      <c r="AQ168" s="1066"/>
    </row>
    <row r="169" spans="43:43" s="1059" customFormat="1">
      <c r="AQ169" s="1066"/>
    </row>
    <row r="170" spans="43:43" s="1059" customFormat="1">
      <c r="AQ170" s="1066"/>
    </row>
    <row r="171" spans="43:43" s="1059" customFormat="1">
      <c r="AQ171" s="1066"/>
    </row>
    <row r="172" spans="43:43" s="1059" customFormat="1">
      <c r="AQ172" s="1066"/>
    </row>
    <row r="173" spans="43:43" s="1059" customFormat="1">
      <c r="AQ173" s="1066"/>
    </row>
    <row r="174" spans="43:43" s="1059" customFormat="1">
      <c r="AQ174" s="1066"/>
    </row>
    <row r="175" spans="43:43" s="1059" customFormat="1">
      <c r="AQ175" s="1066"/>
    </row>
    <row r="176" spans="43:43" s="1059" customFormat="1">
      <c r="AQ176" s="1066"/>
    </row>
    <row r="177" spans="43:43" s="1059" customFormat="1">
      <c r="AQ177" s="1066"/>
    </row>
    <row r="178" spans="43:43" s="1059" customFormat="1">
      <c r="AQ178" s="1066"/>
    </row>
    <row r="179" spans="43:43" s="1059" customFormat="1">
      <c r="AQ179" s="1066"/>
    </row>
    <row r="180" spans="43:43" s="1059" customFormat="1">
      <c r="AQ180" s="1066"/>
    </row>
    <row r="181" spans="43:43" s="1059" customFormat="1">
      <c r="AQ181" s="1066"/>
    </row>
    <row r="182" spans="43:43" s="1059" customFormat="1">
      <c r="AQ182" s="1066"/>
    </row>
    <row r="183" spans="43:43" s="1059" customFormat="1">
      <c r="AQ183" s="1066"/>
    </row>
    <row r="184" spans="43:43" s="1059" customFormat="1">
      <c r="AQ184" s="1066"/>
    </row>
    <row r="185" spans="43:43" s="1059" customFormat="1">
      <c r="AQ185" s="1066"/>
    </row>
    <row r="186" spans="43:43" s="1059" customFormat="1">
      <c r="AQ186" s="1066"/>
    </row>
    <row r="187" spans="43:43" s="1059" customFormat="1">
      <c r="AQ187" s="1066"/>
    </row>
    <row r="188" spans="43:43" s="1059" customFormat="1">
      <c r="AQ188" s="1066"/>
    </row>
    <row r="189" spans="43:43" s="1059" customFormat="1">
      <c r="AQ189" s="1066"/>
    </row>
    <row r="190" spans="43:43" s="1059" customFormat="1">
      <c r="AQ190" s="1066"/>
    </row>
    <row r="191" spans="43:43" s="1059" customFormat="1">
      <c r="AQ191" s="1066"/>
    </row>
    <row r="192" spans="43:43" s="1059" customFormat="1">
      <c r="AQ192" s="1066"/>
    </row>
    <row r="193" spans="43:43" s="1059" customFormat="1">
      <c r="AQ193" s="1066"/>
    </row>
    <row r="194" spans="43:43" s="1059" customFormat="1">
      <c r="AQ194" s="1066"/>
    </row>
    <row r="195" spans="43:43" s="1059" customFormat="1">
      <c r="AQ195" s="1066"/>
    </row>
    <row r="196" spans="43:43" s="1059" customFormat="1">
      <c r="AQ196" s="1066"/>
    </row>
    <row r="197" spans="43:43" s="1059" customFormat="1">
      <c r="AQ197" s="1066"/>
    </row>
    <row r="198" spans="43:43" s="1059" customFormat="1">
      <c r="AQ198" s="1066"/>
    </row>
    <row r="199" spans="43:43" s="1059" customFormat="1">
      <c r="AQ199" s="1066"/>
    </row>
    <row r="200" spans="43:43" s="1059" customFormat="1">
      <c r="AQ200" s="1066"/>
    </row>
    <row r="201" spans="43:43" s="1059" customFormat="1">
      <c r="AQ201" s="1066"/>
    </row>
    <row r="202" spans="43:43" s="1059" customFormat="1">
      <c r="AQ202" s="1066"/>
    </row>
    <row r="203" spans="43:43" s="1059" customFormat="1">
      <c r="AQ203" s="1066"/>
    </row>
    <row r="204" spans="43:43" s="1059" customFormat="1">
      <c r="AQ204" s="1066"/>
    </row>
    <row r="205" spans="43:43" s="1059" customFormat="1">
      <c r="AQ205" s="1066"/>
    </row>
    <row r="206" spans="43:43" s="1059" customFormat="1">
      <c r="AQ206" s="1066"/>
    </row>
    <row r="207" spans="43:43" s="1059" customFormat="1">
      <c r="AQ207" s="1066"/>
    </row>
    <row r="208" spans="43:43" s="1059" customFormat="1">
      <c r="AQ208" s="1066"/>
    </row>
    <row r="209" spans="43:43" s="1059" customFormat="1">
      <c r="AQ209" s="1066"/>
    </row>
    <row r="210" spans="43:43" s="1059" customFormat="1">
      <c r="AQ210" s="1066"/>
    </row>
    <row r="211" spans="43:43" s="1059" customFormat="1">
      <c r="AQ211" s="1066"/>
    </row>
    <row r="212" spans="43:43" s="1059" customFormat="1">
      <c r="AQ212" s="1066"/>
    </row>
    <row r="213" spans="43:43" s="1059" customFormat="1">
      <c r="AQ213" s="1066"/>
    </row>
    <row r="214" spans="43:43" s="1059" customFormat="1">
      <c r="AQ214" s="1066"/>
    </row>
    <row r="215" spans="43:43" s="1059" customFormat="1">
      <c r="AQ215" s="1066"/>
    </row>
    <row r="216" spans="43:43" s="1059" customFormat="1">
      <c r="AQ216" s="1066"/>
    </row>
    <row r="217" spans="43:43" s="1059" customFormat="1">
      <c r="AQ217" s="1066"/>
    </row>
    <row r="218" spans="43:43" s="1059" customFormat="1">
      <c r="AQ218" s="1066"/>
    </row>
    <row r="219" spans="43:43" s="1059" customFormat="1">
      <c r="AQ219" s="1066"/>
    </row>
    <row r="220" spans="43:43" s="1059" customFormat="1">
      <c r="AQ220" s="1066"/>
    </row>
    <row r="221" spans="43:43" s="1059" customFormat="1">
      <c r="AQ221" s="1066"/>
    </row>
    <row r="222" spans="43:43" s="1059" customFormat="1">
      <c r="AQ222" s="1066"/>
    </row>
    <row r="223" spans="43:43" s="1059" customFormat="1">
      <c r="AQ223" s="1066"/>
    </row>
    <row r="224" spans="43:43" s="1059" customFormat="1">
      <c r="AQ224" s="1066"/>
    </row>
    <row r="225" spans="43:43" s="1059" customFormat="1">
      <c r="AQ225" s="1066"/>
    </row>
    <row r="226" spans="43:43" s="1059" customFormat="1">
      <c r="AQ226" s="1066"/>
    </row>
    <row r="227" spans="43:43" s="1059" customFormat="1">
      <c r="AQ227" s="1066"/>
    </row>
    <row r="228" spans="43:43" s="1059" customFormat="1">
      <c r="AQ228" s="1066"/>
    </row>
    <row r="229" spans="43:43" s="1059" customFormat="1">
      <c r="AQ229" s="1066"/>
    </row>
    <row r="230" spans="43:43" s="1059" customFormat="1">
      <c r="AQ230" s="1066"/>
    </row>
    <row r="231" spans="43:43" s="1059" customFormat="1">
      <c r="AQ231" s="1066"/>
    </row>
    <row r="232" spans="43:43" s="1059" customFormat="1">
      <c r="AQ232" s="1066"/>
    </row>
    <row r="233" spans="43:43" s="1059" customFormat="1">
      <c r="AQ233" s="1066"/>
    </row>
    <row r="234" spans="43:43" s="1059" customFormat="1">
      <c r="AQ234" s="1066"/>
    </row>
    <row r="235" spans="43:43" s="1059" customFormat="1">
      <c r="AQ235" s="1066"/>
    </row>
    <row r="236" spans="43:43" s="1059" customFormat="1">
      <c r="AQ236" s="1066"/>
    </row>
    <row r="237" spans="43:43" s="1059" customFormat="1">
      <c r="AQ237" s="1066"/>
    </row>
    <row r="238" spans="43:43" s="1059" customFormat="1">
      <c r="AQ238" s="1066"/>
    </row>
    <row r="239" spans="43:43" s="1059" customFormat="1">
      <c r="AQ239" s="1066"/>
    </row>
    <row r="240" spans="43:43" s="1059" customFormat="1">
      <c r="AQ240" s="1066"/>
    </row>
    <row r="241" spans="43:43" s="1059" customFormat="1">
      <c r="AQ241" s="1066"/>
    </row>
    <row r="242" spans="43:43" s="1059" customFormat="1">
      <c r="AQ242" s="1066"/>
    </row>
    <row r="243" spans="43:43" s="1059" customFormat="1">
      <c r="AQ243" s="1066"/>
    </row>
    <row r="244" spans="43:43" s="1059" customFormat="1">
      <c r="AQ244" s="1066"/>
    </row>
    <row r="245" spans="43:43" s="1059" customFormat="1">
      <c r="AQ245" s="1066"/>
    </row>
    <row r="246" spans="43:43" s="1059" customFormat="1">
      <c r="AQ246" s="1066"/>
    </row>
    <row r="247" spans="43:43" s="1059" customFormat="1">
      <c r="AQ247" s="1066"/>
    </row>
    <row r="248" spans="43:43" s="1059" customFormat="1">
      <c r="AQ248" s="1066"/>
    </row>
    <row r="249" spans="43:43" s="1059" customFormat="1">
      <c r="AQ249" s="1066"/>
    </row>
    <row r="250" spans="43:43" s="1059" customFormat="1">
      <c r="AQ250" s="1066"/>
    </row>
    <row r="251" spans="43:43" s="1059" customFormat="1">
      <c r="AQ251" s="1066"/>
    </row>
    <row r="252" spans="43:43" s="1059" customFormat="1">
      <c r="AQ252" s="1066"/>
    </row>
    <row r="253" spans="43:43" s="1059" customFormat="1">
      <c r="AQ253" s="1066"/>
    </row>
    <row r="254" spans="43:43" s="1059" customFormat="1">
      <c r="AQ254" s="1066"/>
    </row>
    <row r="255" spans="43:43" s="1059" customFormat="1">
      <c r="AQ255" s="1066"/>
    </row>
  </sheetData>
  <hyperlinks>
    <hyperlink ref="AQ1" location="'Spis treści_Contents'!A1" display="spis treści"/>
    <hyperlink ref="AQ2" location="'Spis treści_Contents'!A1" display="contents"/>
  </hyperlinks>
  <pageMargins left="0.7" right="0.7" top="0.75" bottom="0.75" header="0.3" footer="0.3"/>
  <pageSetup paperSize="9" scale="4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C76"/>
  <sheetViews>
    <sheetView view="pageBreakPreview" zoomScaleNormal="100" zoomScaleSheetLayoutView="100" workbookViewId="0">
      <pane xSplit="1" topLeftCell="B1" activePane="topRight" state="frozen"/>
      <selection pane="topRight" activeCell="AL22" sqref="AL22"/>
    </sheetView>
  </sheetViews>
  <sheetFormatPr defaultColWidth="8.7109375" defaultRowHeight="13.5" outlineLevelCol="1"/>
  <cols>
    <col min="1" max="2" width="46" style="36" customWidth="1"/>
    <col min="3" max="3" width="3.42578125" style="36" hidden="1" customWidth="1"/>
    <col min="4" max="11" width="12.7109375" style="11" hidden="1" customWidth="1" outlineLevel="1"/>
    <col min="12" max="22" width="11.7109375" style="11" hidden="1" customWidth="1" outlineLevel="1"/>
    <col min="23" max="23" width="11.7109375" style="52" hidden="1" customWidth="1" outlineLevel="1"/>
    <col min="24" max="25" width="11.7109375" style="11" hidden="1" customWidth="1" outlineLevel="1"/>
    <col min="26" max="29" width="11.7109375" style="10" hidden="1" customWidth="1" outlineLevel="1"/>
    <col min="30" max="30" width="11.7109375" style="5" hidden="1" customWidth="1" outlineLevel="1"/>
    <col min="31" max="31" width="11.7109375" style="10" hidden="1" customWidth="1" outlineLevel="1"/>
    <col min="32" max="33" width="11.7109375" style="51" hidden="1" customWidth="1" outlineLevel="1"/>
    <col min="34" max="35" width="11.7109375" style="7" hidden="1" customWidth="1" outlineLevel="1"/>
    <col min="36" max="36" width="11.85546875" style="7" customWidth="1" collapsed="1"/>
    <col min="37" max="43" width="11.7109375" style="7" customWidth="1"/>
    <col min="44" max="81" width="8.7109375" style="145"/>
    <col min="82" max="16384" width="8.7109375" style="5"/>
  </cols>
  <sheetData>
    <row r="1" spans="1:81" ht="24.75" customHeight="1">
      <c r="A1" s="16" t="s">
        <v>438</v>
      </c>
      <c r="B1" s="16" t="s">
        <v>437</v>
      </c>
      <c r="C1" s="16"/>
      <c r="D1" s="10"/>
      <c r="E1" s="10"/>
      <c r="F1" s="10"/>
      <c r="G1" s="10"/>
      <c r="H1" s="10"/>
      <c r="I1" s="10"/>
      <c r="J1" s="10"/>
      <c r="K1" s="10"/>
      <c r="L1" s="10"/>
      <c r="M1" s="10"/>
      <c r="N1" s="10"/>
      <c r="O1" s="10"/>
      <c r="P1" s="10"/>
      <c r="Q1" s="10"/>
      <c r="R1" s="10"/>
      <c r="S1" s="10"/>
      <c r="T1" s="10"/>
      <c r="U1" s="10"/>
      <c r="V1" s="10"/>
      <c r="W1" s="1140"/>
      <c r="X1" s="10"/>
      <c r="Y1" s="10"/>
      <c r="AQ1" s="392" t="s">
        <v>800</v>
      </c>
    </row>
    <row r="2" spans="1:81" ht="28.5" customHeight="1">
      <c r="A2" s="389" t="s">
        <v>0</v>
      </c>
      <c r="B2" s="389" t="s">
        <v>165</v>
      </c>
      <c r="C2" s="389"/>
      <c r="D2" s="10"/>
      <c r="E2" s="10"/>
      <c r="F2" s="10"/>
      <c r="G2" s="10"/>
      <c r="H2" s="10"/>
      <c r="I2" s="10"/>
      <c r="J2" s="10"/>
      <c r="K2" s="10"/>
      <c r="L2" s="10"/>
      <c r="M2" s="10"/>
      <c r="N2" s="10"/>
      <c r="O2" s="10"/>
      <c r="P2" s="390" t="s">
        <v>874</v>
      </c>
      <c r="Q2" s="390" t="s">
        <v>874</v>
      </c>
      <c r="R2" s="390" t="s">
        <v>874</v>
      </c>
      <c r="S2" s="390" t="s">
        <v>874</v>
      </c>
      <c r="T2" s="390"/>
      <c r="U2" s="390"/>
      <c r="V2" s="390"/>
      <c r="W2" s="1141"/>
      <c r="X2" s="391"/>
      <c r="Y2" s="10"/>
      <c r="AQ2" s="392" t="s">
        <v>801</v>
      </c>
    </row>
    <row r="3" spans="1:81" s="10" customFormat="1" ht="14.25" thickBot="1">
      <c r="A3" s="259"/>
      <c r="B3" s="259"/>
      <c r="C3" s="259"/>
      <c r="D3" s="260"/>
      <c r="E3" s="260"/>
      <c r="F3" s="260"/>
      <c r="G3" s="260"/>
      <c r="H3" s="260"/>
      <c r="I3" s="260"/>
      <c r="J3" s="260"/>
      <c r="K3" s="260"/>
      <c r="L3" s="260"/>
      <c r="M3" s="260"/>
      <c r="N3" s="260"/>
      <c r="O3" s="260"/>
      <c r="P3" s="134" t="s">
        <v>873</v>
      </c>
      <c r="Q3" s="134" t="s">
        <v>873</v>
      </c>
      <c r="R3" s="134" t="s">
        <v>873</v>
      </c>
      <c r="S3" s="134" t="s">
        <v>873</v>
      </c>
      <c r="T3" s="134"/>
      <c r="U3" s="134"/>
      <c r="V3" s="134"/>
      <c r="W3" s="140"/>
      <c r="X3" s="25"/>
      <c r="Y3" s="11"/>
      <c r="AC3" s="11"/>
      <c r="AF3" s="51"/>
      <c r="AG3" s="51"/>
      <c r="AH3" s="51"/>
      <c r="AI3" s="51"/>
      <c r="AJ3" s="51"/>
      <c r="AK3" s="51"/>
      <c r="AL3" s="51"/>
      <c r="AM3" s="51"/>
      <c r="AN3" s="51"/>
      <c r="AO3" s="51"/>
      <c r="AP3" s="51"/>
      <c r="AQ3" s="51"/>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row>
    <row r="4" spans="1:81" s="74" customFormat="1" ht="19.5" customHeight="1" thickBot="1">
      <c r="A4" s="343" t="s">
        <v>391</v>
      </c>
      <c r="B4" s="305" t="s">
        <v>180</v>
      </c>
      <c r="C4" s="305"/>
      <c r="D4" s="305" t="s">
        <v>24</v>
      </c>
      <c r="E4" s="305" t="s">
        <v>25</v>
      </c>
      <c r="F4" s="305" t="s">
        <v>26</v>
      </c>
      <c r="G4" s="305" t="s">
        <v>27</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1155" t="s">
        <v>43</v>
      </c>
      <c r="X4" s="305" t="s">
        <v>110</v>
      </c>
      <c r="Y4" s="305" t="s">
        <v>111</v>
      </c>
      <c r="Z4" s="305" t="s">
        <v>113</v>
      </c>
      <c r="AA4" s="305" t="s">
        <v>120</v>
      </c>
      <c r="AB4" s="305" t="s">
        <v>114</v>
      </c>
      <c r="AC4" s="305" t="s">
        <v>116</v>
      </c>
      <c r="AD4" s="305" t="s">
        <v>117</v>
      </c>
      <c r="AE4" s="305" t="s">
        <v>119</v>
      </c>
      <c r="AF4" s="306" t="s">
        <v>121</v>
      </c>
      <c r="AG4" s="306" t="s">
        <v>123</v>
      </c>
      <c r="AH4" s="306" t="s">
        <v>124</v>
      </c>
      <c r="AI4" s="306" t="s">
        <v>125</v>
      </c>
      <c r="AJ4" s="306" t="s">
        <v>127</v>
      </c>
      <c r="AK4" s="306" t="s">
        <v>128</v>
      </c>
      <c r="AL4" s="306" t="s">
        <v>129</v>
      </c>
      <c r="AM4" s="306" t="s">
        <v>130</v>
      </c>
      <c r="AN4" s="306" t="s">
        <v>131</v>
      </c>
      <c r="AO4" s="306" t="s">
        <v>223</v>
      </c>
      <c r="AP4" s="306" t="s">
        <v>224</v>
      </c>
      <c r="AQ4" s="344" t="s">
        <v>511</v>
      </c>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row>
    <row r="5" spans="1:81" ht="15.95" customHeight="1">
      <c r="A5" s="444" t="s">
        <v>3</v>
      </c>
      <c r="B5" s="445" t="s">
        <v>143</v>
      </c>
      <c r="C5" s="445"/>
      <c r="D5" s="446">
        <v>1267.2739999999999</v>
      </c>
      <c r="E5" s="446">
        <v>1276.3540000000003</v>
      </c>
      <c r="F5" s="446">
        <v>1410.8799999999997</v>
      </c>
      <c r="G5" s="446">
        <v>1157.9540000000006</v>
      </c>
      <c r="H5" s="446">
        <v>1218.087</v>
      </c>
      <c r="I5" s="446">
        <v>1263.3890000000001</v>
      </c>
      <c r="J5" s="446">
        <v>1582.0160000000001</v>
      </c>
      <c r="K5" s="446">
        <v>1107.3850000000002</v>
      </c>
      <c r="L5" s="446">
        <v>1321.3019999999999</v>
      </c>
      <c r="M5" s="446">
        <v>1362.63</v>
      </c>
      <c r="N5" s="446">
        <v>1328.258</v>
      </c>
      <c r="O5" s="446">
        <v>1641.326</v>
      </c>
      <c r="P5" s="447">
        <v>1491.992</v>
      </c>
      <c r="Q5" s="447">
        <v>1444.69</v>
      </c>
      <c r="R5" s="447">
        <v>1434.2650000000001</v>
      </c>
      <c r="S5" s="447">
        <v>1563.309</v>
      </c>
      <c r="T5" s="447">
        <v>1354.6179999999999</v>
      </c>
      <c r="U5" s="447">
        <v>1324.28</v>
      </c>
      <c r="V5" s="447">
        <v>1365.972</v>
      </c>
      <c r="W5" s="447">
        <v>1401.607</v>
      </c>
      <c r="X5" s="446">
        <v>1507.41</v>
      </c>
      <c r="Y5" s="446">
        <v>1581.606</v>
      </c>
      <c r="Z5" s="446">
        <v>1600.0250000000001</v>
      </c>
      <c r="AA5" s="446">
        <v>1565.777</v>
      </c>
      <c r="AB5" s="446">
        <v>1477.423</v>
      </c>
      <c r="AC5" s="446">
        <v>1515.76</v>
      </c>
      <c r="AD5" s="446">
        <v>1590.386</v>
      </c>
      <c r="AE5" s="446">
        <v>1649.8309999999999</v>
      </c>
      <c r="AF5" s="446">
        <v>1598</v>
      </c>
      <c r="AG5" s="446">
        <v>1649</v>
      </c>
      <c r="AH5" s="446">
        <v>1608</v>
      </c>
      <c r="AI5" s="447">
        <v>1730</v>
      </c>
      <c r="AJ5" s="446">
        <v>1681</v>
      </c>
      <c r="AK5" s="448">
        <v>1720</v>
      </c>
      <c r="AL5" s="448">
        <v>1798</v>
      </c>
      <c r="AM5" s="448">
        <v>1776</v>
      </c>
      <c r="AN5" s="446">
        <v>1764</v>
      </c>
      <c r="AO5" s="446">
        <v>1819</v>
      </c>
      <c r="AP5" s="446">
        <v>1901</v>
      </c>
      <c r="AQ5" s="449">
        <v>1936</v>
      </c>
    </row>
    <row r="6" spans="1:81" s="10" customFormat="1" ht="15.95" customHeight="1">
      <c r="A6" s="410" t="s">
        <v>6</v>
      </c>
      <c r="B6" s="349" t="s">
        <v>146</v>
      </c>
      <c r="C6" s="349"/>
      <c r="D6" s="411">
        <v>480.512</v>
      </c>
      <c r="E6" s="411">
        <v>542.45000000000005</v>
      </c>
      <c r="F6" s="411">
        <v>622.70299999999997</v>
      </c>
      <c r="G6" s="411">
        <v>619.26299999999992</v>
      </c>
      <c r="H6" s="411">
        <v>647.82000000000005</v>
      </c>
      <c r="I6" s="411">
        <v>710.13700000000006</v>
      </c>
      <c r="J6" s="411">
        <v>679.41599999999994</v>
      </c>
      <c r="K6" s="411">
        <v>701.52399999999989</v>
      </c>
      <c r="L6" s="411">
        <v>609.798</v>
      </c>
      <c r="M6" s="411">
        <v>651.92100000000005</v>
      </c>
      <c r="N6" s="411">
        <v>622.41200000000003</v>
      </c>
      <c r="O6" s="411">
        <v>635.08900000000006</v>
      </c>
      <c r="P6" s="412">
        <v>573.52800000000002</v>
      </c>
      <c r="Q6" s="412">
        <v>620.99300000000005</v>
      </c>
      <c r="R6" s="412">
        <v>590.65800000000002</v>
      </c>
      <c r="S6" s="412">
        <v>466.04300000000001</v>
      </c>
      <c r="T6" s="412">
        <v>556.23500000000001</v>
      </c>
      <c r="U6" s="412">
        <v>519.07100000000003</v>
      </c>
      <c r="V6" s="412">
        <v>564.16700000000003</v>
      </c>
      <c r="W6" s="412">
        <v>587.80100000000004</v>
      </c>
      <c r="X6" s="411">
        <v>567.16999999999996</v>
      </c>
      <c r="Y6" s="411">
        <v>584.88599999999997</v>
      </c>
      <c r="Z6" s="411">
        <v>540.27</v>
      </c>
      <c r="AA6" s="411">
        <v>522.69500000000005</v>
      </c>
      <c r="AB6" s="411">
        <v>503.09199999999998</v>
      </c>
      <c r="AC6" s="411">
        <v>583.01300000000003</v>
      </c>
      <c r="AD6" s="411">
        <v>533.73599999999999</v>
      </c>
      <c r="AE6" s="411">
        <v>717.75900000000001</v>
      </c>
      <c r="AF6" s="411">
        <v>522</v>
      </c>
      <c r="AG6" s="411">
        <v>531</v>
      </c>
      <c r="AH6" s="411">
        <v>545</v>
      </c>
      <c r="AI6" s="412">
        <v>543</v>
      </c>
      <c r="AJ6" s="411">
        <v>550</v>
      </c>
      <c r="AK6" s="413">
        <v>594</v>
      </c>
      <c r="AL6" s="413">
        <v>617</v>
      </c>
      <c r="AM6" s="413">
        <v>612</v>
      </c>
      <c r="AN6" s="411">
        <v>610</v>
      </c>
      <c r="AO6" s="411">
        <v>617</v>
      </c>
      <c r="AP6" s="411">
        <v>658</v>
      </c>
      <c r="AQ6" s="414">
        <v>639</v>
      </c>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row>
    <row r="7" spans="1:81" s="10" customFormat="1" ht="15.95" customHeight="1">
      <c r="A7" s="410" t="s">
        <v>7</v>
      </c>
      <c r="B7" s="349" t="s">
        <v>166</v>
      </c>
      <c r="C7" s="349"/>
      <c r="D7" s="411">
        <v>212.06299999999999</v>
      </c>
      <c r="E7" s="411">
        <v>308.16499999999996</v>
      </c>
      <c r="F7" s="411">
        <v>-14.499999999999943</v>
      </c>
      <c r="G7" s="411">
        <v>-190.71500000000003</v>
      </c>
      <c r="H7" s="411">
        <v>52.915999999999997</v>
      </c>
      <c r="I7" s="411">
        <v>66.14500000000001</v>
      </c>
      <c r="J7" s="411">
        <v>103.125</v>
      </c>
      <c r="K7" s="411">
        <v>19.015999999999991</v>
      </c>
      <c r="L7" s="1142">
        <v>43.917999999999999</v>
      </c>
      <c r="M7" s="1142">
        <v>27.079000000000001</v>
      </c>
      <c r="N7" s="1142">
        <v>47.323</v>
      </c>
      <c r="O7" s="1142">
        <v>118.194</v>
      </c>
      <c r="P7" s="1142">
        <v>68.337000000000003</v>
      </c>
      <c r="Q7" s="1142">
        <v>44.276000000000003</v>
      </c>
      <c r="R7" s="1142">
        <v>54.997999999999998</v>
      </c>
      <c r="S7" s="1142">
        <v>30.904</v>
      </c>
      <c r="T7" s="1142">
        <v>24.63</v>
      </c>
      <c r="U7" s="1142">
        <v>44.341999999999999</v>
      </c>
      <c r="V7" s="1142">
        <v>46.201999999999998</v>
      </c>
      <c r="W7" s="1142">
        <v>65.587999999999994</v>
      </c>
      <c r="X7" s="1142">
        <v>42.277000000000001</v>
      </c>
      <c r="Y7" s="1142">
        <v>66.468999999999994</v>
      </c>
      <c r="Z7" s="1142">
        <v>53.753999999999998</v>
      </c>
      <c r="AA7" s="1142">
        <v>68.027000000000001</v>
      </c>
      <c r="AB7" s="1142">
        <v>96.278000000000006</v>
      </c>
      <c r="AC7" s="1142">
        <v>53.207000000000001</v>
      </c>
      <c r="AD7" s="1142">
        <v>38.563000000000002</v>
      </c>
      <c r="AE7" s="1142">
        <v>164.05199999999999</v>
      </c>
      <c r="AF7" s="411">
        <v>71</v>
      </c>
      <c r="AG7" s="411">
        <v>60</v>
      </c>
      <c r="AH7" s="411">
        <v>124</v>
      </c>
      <c r="AI7" s="412">
        <v>102</v>
      </c>
      <c r="AJ7" s="411">
        <v>100</v>
      </c>
      <c r="AK7" s="1142">
        <v>110</v>
      </c>
      <c r="AL7" s="1142">
        <v>115</v>
      </c>
      <c r="AM7" s="1142">
        <v>124</v>
      </c>
      <c r="AN7" s="1142">
        <v>135</v>
      </c>
      <c r="AO7" s="1142">
        <v>42</v>
      </c>
      <c r="AP7" s="1142">
        <v>94</v>
      </c>
      <c r="AQ7" s="1143">
        <v>106</v>
      </c>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row>
    <row r="8" spans="1:81" s="26" customFormat="1" ht="15.95" customHeight="1">
      <c r="A8" s="1144" t="s">
        <v>421</v>
      </c>
      <c r="B8" s="1145" t="s">
        <v>434</v>
      </c>
      <c r="C8" s="1145"/>
      <c r="D8" s="465">
        <v>-3.4359999999999999</v>
      </c>
      <c r="E8" s="465">
        <v>0.80699999999999994</v>
      </c>
      <c r="F8" s="465">
        <v>-0.80500000000000016</v>
      </c>
      <c r="G8" s="465">
        <v>-0.10299999999999976</v>
      </c>
      <c r="H8" s="465">
        <v>-2.0539999999999998</v>
      </c>
      <c r="I8" s="465">
        <v>-1.4820000000000002</v>
      </c>
      <c r="J8" s="465">
        <v>4.1260000000000003</v>
      </c>
      <c r="K8" s="465">
        <v>-4.3029999999999999</v>
      </c>
      <c r="L8" s="465">
        <v>3.2000000000000001E-2</v>
      </c>
      <c r="M8" s="465">
        <v>5.6449999999999996</v>
      </c>
      <c r="N8" s="465">
        <v>2.661</v>
      </c>
      <c r="O8" s="465">
        <v>-8.7550000000000008</v>
      </c>
      <c r="P8" s="671">
        <v>-0.30499999999999999</v>
      </c>
      <c r="Q8" s="671">
        <v>6.431</v>
      </c>
      <c r="R8" s="671">
        <v>-2.8130000000000002</v>
      </c>
      <c r="S8" s="671">
        <v>-1.4390000000000001</v>
      </c>
      <c r="T8" s="671">
        <v>-2.2909999999999999</v>
      </c>
      <c r="U8" s="671">
        <v>-3.391</v>
      </c>
      <c r="V8" s="671">
        <v>3.6789999999999998</v>
      </c>
      <c r="W8" s="671">
        <v>10.362</v>
      </c>
      <c r="X8" s="465">
        <v>2.3359999999999999</v>
      </c>
      <c r="Y8" s="465">
        <v>5.6189999999999998</v>
      </c>
      <c r="Z8" s="465">
        <v>1.9990000000000001</v>
      </c>
      <c r="AA8" s="465">
        <v>-1.516</v>
      </c>
      <c r="AB8" s="465">
        <v>-2.875</v>
      </c>
      <c r="AC8" s="465">
        <v>8.7789999999999999</v>
      </c>
      <c r="AD8" s="465">
        <v>-0.14199999999999999</v>
      </c>
      <c r="AE8" s="465">
        <v>0.53800000000000003</v>
      </c>
      <c r="AF8" s="465"/>
      <c r="AG8" s="465"/>
      <c r="AH8" s="465">
        <v>-1</v>
      </c>
      <c r="AI8" s="671">
        <v>4</v>
      </c>
      <c r="AJ8" s="465">
        <v>1</v>
      </c>
      <c r="AK8" s="1146">
        <v>-3</v>
      </c>
      <c r="AL8" s="1146">
        <v>1</v>
      </c>
      <c r="AM8" s="1146">
        <v>6</v>
      </c>
      <c r="AN8" s="465">
        <v>5</v>
      </c>
      <c r="AO8" s="465">
        <v>-1</v>
      </c>
      <c r="AP8" s="465">
        <v>2</v>
      </c>
      <c r="AQ8" s="466">
        <v>5</v>
      </c>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row>
    <row r="9" spans="1:81" s="26" customFormat="1" ht="15.95" customHeight="1">
      <c r="A9" s="1144" t="s">
        <v>422</v>
      </c>
      <c r="B9" s="1145" t="s">
        <v>169</v>
      </c>
      <c r="C9" s="1145"/>
      <c r="D9" s="465">
        <v>167.922</v>
      </c>
      <c r="E9" s="465">
        <v>243.84700000000001</v>
      </c>
      <c r="F9" s="465">
        <v>-87.850000000000023</v>
      </c>
      <c r="G9" s="465">
        <v>-214.31099999999998</v>
      </c>
      <c r="H9" s="465">
        <v>27.916</v>
      </c>
      <c r="I9" s="465">
        <v>25.63</v>
      </c>
      <c r="J9" s="465">
        <v>82.808999999999997</v>
      </c>
      <c r="K9" s="465">
        <v>-42.910999999999987</v>
      </c>
      <c r="L9" s="465">
        <v>33.290999999999997</v>
      </c>
      <c r="M9" s="465">
        <v>17.306000000000001</v>
      </c>
      <c r="N9" s="465">
        <v>36.478000000000002</v>
      </c>
      <c r="O9" s="465">
        <v>119.821</v>
      </c>
      <c r="P9" s="671">
        <v>62.219000000000001</v>
      </c>
      <c r="Q9" s="671">
        <v>31.238</v>
      </c>
      <c r="R9" s="671">
        <v>50.853999999999999</v>
      </c>
      <c r="S9" s="671">
        <v>26.006</v>
      </c>
      <c r="T9" s="671">
        <v>20.87</v>
      </c>
      <c r="U9" s="671">
        <v>39.140999999999998</v>
      </c>
      <c r="V9" s="671">
        <v>34.271999999999998</v>
      </c>
      <c r="W9" s="671">
        <v>46.911999999999999</v>
      </c>
      <c r="X9" s="465">
        <v>32.021999999999998</v>
      </c>
      <c r="Y9" s="465">
        <v>48.331000000000003</v>
      </c>
      <c r="Z9" s="465">
        <v>43.097000000000001</v>
      </c>
      <c r="AA9" s="465">
        <v>38.29</v>
      </c>
      <c r="AB9" s="465">
        <v>59.404000000000003</v>
      </c>
      <c r="AC9" s="465">
        <v>42.121000000000002</v>
      </c>
      <c r="AD9" s="465">
        <v>31.414000000000001</v>
      </c>
      <c r="AE9" s="465">
        <v>51.561</v>
      </c>
      <c r="AF9" s="465">
        <v>27</v>
      </c>
      <c r="AG9" s="465">
        <v>56</v>
      </c>
      <c r="AH9" s="465">
        <v>96</v>
      </c>
      <c r="AI9" s="671">
        <v>87</v>
      </c>
      <c r="AJ9" s="465">
        <v>47</v>
      </c>
      <c r="AK9" s="1146">
        <v>53</v>
      </c>
      <c r="AL9" s="1146">
        <v>55</v>
      </c>
      <c r="AM9" s="1146">
        <v>58</v>
      </c>
      <c r="AN9" s="465">
        <v>36</v>
      </c>
      <c r="AO9" s="465">
        <v>53</v>
      </c>
      <c r="AP9" s="465">
        <v>28</v>
      </c>
      <c r="AQ9" s="466">
        <v>44</v>
      </c>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row>
    <row r="10" spans="1:81" s="26" customFormat="1" ht="40.5">
      <c r="A10" s="1144" t="s">
        <v>876</v>
      </c>
      <c r="B10" s="1145" t="s">
        <v>170</v>
      </c>
      <c r="C10" s="1145"/>
      <c r="D10" s="465">
        <v>0</v>
      </c>
      <c r="E10" s="465">
        <v>0</v>
      </c>
      <c r="F10" s="465">
        <v>0</v>
      </c>
      <c r="G10" s="465">
        <v>0</v>
      </c>
      <c r="H10" s="465"/>
      <c r="I10" s="465">
        <v>0</v>
      </c>
      <c r="J10" s="465">
        <v>0</v>
      </c>
      <c r="K10" s="465">
        <v>0</v>
      </c>
      <c r="L10" s="667">
        <v>0</v>
      </c>
      <c r="M10" s="667">
        <v>0</v>
      </c>
      <c r="N10" s="667">
        <v>0</v>
      </c>
      <c r="O10" s="667">
        <v>0</v>
      </c>
      <c r="P10" s="693">
        <v>0</v>
      </c>
      <c r="Q10" s="693">
        <v>0</v>
      </c>
      <c r="R10" s="693">
        <v>0</v>
      </c>
      <c r="S10" s="693">
        <v>0</v>
      </c>
      <c r="T10" s="693">
        <v>0</v>
      </c>
      <c r="U10" s="693">
        <v>0</v>
      </c>
      <c r="V10" s="693">
        <v>0</v>
      </c>
      <c r="W10" s="693">
        <v>0</v>
      </c>
      <c r="X10" s="667">
        <v>0</v>
      </c>
      <c r="Y10" s="667">
        <v>0</v>
      </c>
      <c r="Z10" s="667">
        <v>0</v>
      </c>
      <c r="AA10" s="667">
        <v>0</v>
      </c>
      <c r="AB10" s="667">
        <v>0</v>
      </c>
      <c r="AC10" s="667">
        <v>0</v>
      </c>
      <c r="AD10" s="667">
        <v>0</v>
      </c>
      <c r="AE10" s="667">
        <v>0</v>
      </c>
      <c r="AF10" s="465">
        <v>0</v>
      </c>
      <c r="AG10" s="465">
        <v>0</v>
      </c>
      <c r="AH10" s="465">
        <v>0</v>
      </c>
      <c r="AI10" s="671">
        <v>0</v>
      </c>
      <c r="AJ10" s="465">
        <v>0</v>
      </c>
      <c r="AK10" s="1146">
        <v>0</v>
      </c>
      <c r="AL10" s="1146">
        <v>0</v>
      </c>
      <c r="AM10" s="1146">
        <v>0</v>
      </c>
      <c r="AN10" s="667">
        <v>0</v>
      </c>
      <c r="AO10" s="667">
        <v>1</v>
      </c>
      <c r="AP10" s="667">
        <v>0</v>
      </c>
      <c r="AQ10" s="1147">
        <v>5</v>
      </c>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row>
    <row r="11" spans="1:81" s="26" customFormat="1" ht="15.95" customHeight="1">
      <c r="A11" s="1144" t="s">
        <v>424</v>
      </c>
      <c r="B11" s="1145" t="s">
        <v>169</v>
      </c>
      <c r="C11" s="1145"/>
      <c r="D11" s="465">
        <v>0</v>
      </c>
      <c r="E11" s="465">
        <v>0</v>
      </c>
      <c r="F11" s="465">
        <v>0</v>
      </c>
      <c r="G11" s="465">
        <v>0</v>
      </c>
      <c r="H11" s="465"/>
      <c r="I11" s="465">
        <v>0</v>
      </c>
      <c r="J11" s="465">
        <v>0</v>
      </c>
      <c r="K11" s="465">
        <v>0</v>
      </c>
      <c r="L11" s="465">
        <v>0</v>
      </c>
      <c r="M11" s="465">
        <v>0</v>
      </c>
      <c r="N11" s="465">
        <v>0</v>
      </c>
      <c r="O11" s="465">
        <v>0</v>
      </c>
      <c r="P11" s="671">
        <v>0</v>
      </c>
      <c r="Q11" s="671">
        <v>0</v>
      </c>
      <c r="R11" s="671">
        <v>0</v>
      </c>
      <c r="S11" s="671">
        <v>0</v>
      </c>
      <c r="T11" s="671">
        <v>0</v>
      </c>
      <c r="U11" s="671">
        <v>0</v>
      </c>
      <c r="V11" s="671">
        <v>0</v>
      </c>
      <c r="W11" s="671">
        <v>0</v>
      </c>
      <c r="X11" s="465">
        <v>0</v>
      </c>
      <c r="Y11" s="465">
        <v>0</v>
      </c>
      <c r="Z11" s="465">
        <v>0</v>
      </c>
      <c r="AA11" s="465">
        <v>0</v>
      </c>
      <c r="AB11" s="465">
        <v>0</v>
      </c>
      <c r="AC11" s="465">
        <v>0</v>
      </c>
      <c r="AD11" s="465">
        <v>0</v>
      </c>
      <c r="AE11" s="465">
        <v>0</v>
      </c>
      <c r="AF11" s="465">
        <v>0</v>
      </c>
      <c r="AG11" s="465">
        <v>0</v>
      </c>
      <c r="AH11" s="465">
        <v>0</v>
      </c>
      <c r="AI11" s="671">
        <v>0</v>
      </c>
      <c r="AJ11" s="465">
        <v>0</v>
      </c>
      <c r="AK11" s="1146">
        <v>0</v>
      </c>
      <c r="AL11" s="1146">
        <v>0</v>
      </c>
      <c r="AM11" s="1146">
        <v>0</v>
      </c>
      <c r="AN11" s="465">
        <v>0</v>
      </c>
      <c r="AO11" s="465">
        <v>3</v>
      </c>
      <c r="AP11" s="465"/>
      <c r="AQ11" s="466">
        <v>-3</v>
      </c>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row>
    <row r="12" spans="1:81" s="28" customFormat="1" ht="15.95" customHeight="1">
      <c r="A12" s="1144" t="s">
        <v>425</v>
      </c>
      <c r="B12" s="1145" t="s">
        <v>147</v>
      </c>
      <c r="C12" s="1145"/>
      <c r="D12" s="509">
        <v>0</v>
      </c>
      <c r="E12" s="509">
        <v>0</v>
      </c>
      <c r="F12" s="509">
        <v>0</v>
      </c>
      <c r="G12" s="509">
        <v>0</v>
      </c>
      <c r="H12" s="509"/>
      <c r="I12" s="509">
        <v>0</v>
      </c>
      <c r="J12" s="509">
        <v>0</v>
      </c>
      <c r="K12" s="509">
        <v>0</v>
      </c>
      <c r="L12" s="509">
        <v>0</v>
      </c>
      <c r="M12" s="509">
        <v>0</v>
      </c>
      <c r="N12" s="509">
        <v>0</v>
      </c>
      <c r="O12" s="509">
        <v>0</v>
      </c>
      <c r="P12" s="464">
        <v>0</v>
      </c>
      <c r="Q12" s="464">
        <v>0</v>
      </c>
      <c r="R12" s="464">
        <v>0</v>
      </c>
      <c r="S12" s="464">
        <v>0</v>
      </c>
      <c r="T12" s="464">
        <v>0</v>
      </c>
      <c r="U12" s="464">
        <v>0</v>
      </c>
      <c r="V12" s="464">
        <v>0</v>
      </c>
      <c r="W12" s="464">
        <v>0</v>
      </c>
      <c r="X12" s="509">
        <v>0</v>
      </c>
      <c r="Y12" s="509">
        <v>0</v>
      </c>
      <c r="Z12" s="509">
        <v>0</v>
      </c>
      <c r="AA12" s="509">
        <v>0</v>
      </c>
      <c r="AB12" s="509">
        <v>0</v>
      </c>
      <c r="AC12" s="509">
        <v>0</v>
      </c>
      <c r="AD12" s="509">
        <v>0</v>
      </c>
      <c r="AE12" s="509">
        <v>0</v>
      </c>
      <c r="AF12" s="509">
        <v>0</v>
      </c>
      <c r="AG12" s="509">
        <v>0</v>
      </c>
      <c r="AH12" s="509">
        <v>0</v>
      </c>
      <c r="AI12" s="509">
        <v>0</v>
      </c>
      <c r="AJ12" s="509">
        <v>0</v>
      </c>
      <c r="AK12" s="509">
        <v>0</v>
      </c>
      <c r="AL12" s="509">
        <v>0</v>
      </c>
      <c r="AM12" s="509">
        <v>0</v>
      </c>
      <c r="AN12" s="509">
        <v>0</v>
      </c>
      <c r="AO12" s="509">
        <v>0</v>
      </c>
      <c r="AP12" s="509">
        <v>0</v>
      </c>
      <c r="AQ12" s="1149">
        <v>0</v>
      </c>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row>
    <row r="13" spans="1:81" s="28" customFormat="1" ht="15.95" customHeight="1">
      <c r="A13" s="1144" t="s">
        <v>426</v>
      </c>
      <c r="B13" s="1145" t="s">
        <v>173</v>
      </c>
      <c r="C13" s="1145"/>
      <c r="D13" s="509">
        <v>41.076999999999998</v>
      </c>
      <c r="E13" s="509">
        <v>57.010999999999996</v>
      </c>
      <c r="F13" s="509">
        <v>67.653999999999996</v>
      </c>
      <c r="G13" s="509">
        <v>17.200000000000017</v>
      </c>
      <c r="H13" s="509">
        <v>20.553999999999998</v>
      </c>
      <c r="I13" s="509">
        <v>35.492000000000004</v>
      </c>
      <c r="J13" s="509">
        <v>9.6709999999999994</v>
      </c>
      <c r="K13" s="509">
        <v>59.730000000000004</v>
      </c>
      <c r="L13" s="1150">
        <v>4.09</v>
      </c>
      <c r="M13" s="1150">
        <v>-2.3820000000000001</v>
      </c>
      <c r="N13" s="1150">
        <v>1.675</v>
      </c>
      <c r="O13" s="1150">
        <v>0.61799999999999999</v>
      </c>
      <c r="P13" s="1151">
        <v>-8.6999999999999994E-2</v>
      </c>
      <c r="Q13" s="1151">
        <v>9.8000000000000004E-2</v>
      </c>
      <c r="R13" s="1151">
        <v>0.44700000000000001</v>
      </c>
      <c r="S13" s="1151">
        <v>-0.17199999999999999</v>
      </c>
      <c r="T13" s="1151">
        <v>-0.45900000000000002</v>
      </c>
      <c r="U13" s="1151">
        <v>2.0830000000000002</v>
      </c>
      <c r="V13" s="1151">
        <v>1.7410000000000001</v>
      </c>
      <c r="W13" s="1151">
        <v>1.8049999999999999</v>
      </c>
      <c r="X13" s="1150">
        <v>1.409</v>
      </c>
      <c r="Y13" s="1150">
        <v>6.01</v>
      </c>
      <c r="Z13" s="1150">
        <v>2.1339999999999999</v>
      </c>
      <c r="AA13" s="1150">
        <v>24.731999999999999</v>
      </c>
      <c r="AB13" s="1150">
        <v>33.213000000000001</v>
      </c>
      <c r="AC13" s="1150">
        <v>-4.22</v>
      </c>
      <c r="AD13" s="1150">
        <v>0.76400000000000001</v>
      </c>
      <c r="AE13" s="1150">
        <v>105.443</v>
      </c>
      <c r="AF13" s="509">
        <v>37</v>
      </c>
      <c r="AG13" s="509">
        <v>-9</v>
      </c>
      <c r="AH13" s="509">
        <v>23</v>
      </c>
      <c r="AI13" s="509">
        <v>4</v>
      </c>
      <c r="AJ13" s="509">
        <v>45</v>
      </c>
      <c r="AK13" s="1148">
        <v>54</v>
      </c>
      <c r="AL13" s="1148">
        <v>52</v>
      </c>
      <c r="AM13" s="1148">
        <v>54</v>
      </c>
      <c r="AN13" s="509">
        <v>82</v>
      </c>
      <c r="AO13" s="1150">
        <v>-20</v>
      </c>
      <c r="AP13" s="1150">
        <v>57</v>
      </c>
      <c r="AQ13" s="1152">
        <v>53</v>
      </c>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row>
    <row r="14" spans="1:81" s="26" customFormat="1" ht="27">
      <c r="A14" s="1144" t="s">
        <v>875</v>
      </c>
      <c r="B14" s="1145" t="s">
        <v>433</v>
      </c>
      <c r="C14" s="1145"/>
      <c r="D14" s="465">
        <v>6.5</v>
      </c>
      <c r="E14" s="465">
        <v>6.5</v>
      </c>
      <c r="F14" s="465">
        <v>6.5</v>
      </c>
      <c r="G14" s="465">
        <v>6.5</v>
      </c>
      <c r="H14" s="465">
        <v>6.5</v>
      </c>
      <c r="I14" s="465">
        <v>6.5050000000000008</v>
      </c>
      <c r="J14" s="465">
        <v>6.5190000000000001</v>
      </c>
      <c r="K14" s="465">
        <v>6.5</v>
      </c>
      <c r="L14" s="465">
        <v>6.5049999999999999</v>
      </c>
      <c r="M14" s="465">
        <v>6.51</v>
      </c>
      <c r="N14" s="465">
        <v>6.5090000000000003</v>
      </c>
      <c r="O14" s="465">
        <v>6.51</v>
      </c>
      <c r="P14" s="671">
        <v>6.51</v>
      </c>
      <c r="Q14" s="671">
        <v>6.5090000000000003</v>
      </c>
      <c r="R14" s="671">
        <v>6.51</v>
      </c>
      <c r="S14" s="671">
        <v>26.038</v>
      </c>
      <c r="T14" s="671">
        <v>6.51</v>
      </c>
      <c r="U14" s="671">
        <v>6.5090000000000003</v>
      </c>
      <c r="V14" s="671">
        <v>6.51</v>
      </c>
      <c r="W14" s="671">
        <v>6.5090000000000003</v>
      </c>
      <c r="X14" s="465">
        <v>6.51</v>
      </c>
      <c r="Y14" s="465">
        <v>6.5090000000000003</v>
      </c>
      <c r="Z14" s="465">
        <v>6.524</v>
      </c>
      <c r="AA14" s="465">
        <v>6.5209999999999999</v>
      </c>
      <c r="AB14" s="465">
        <v>6.5359999999999996</v>
      </c>
      <c r="AC14" s="465">
        <v>6.5270000000000001</v>
      </c>
      <c r="AD14" s="465">
        <v>6.5270000000000001</v>
      </c>
      <c r="AE14" s="465">
        <v>6.51</v>
      </c>
      <c r="AF14" s="465">
        <v>7</v>
      </c>
      <c r="AG14" s="465">
        <v>6</v>
      </c>
      <c r="AH14" s="465">
        <v>6</v>
      </c>
      <c r="AI14" s="465">
        <v>7</v>
      </c>
      <c r="AJ14" s="465">
        <v>7</v>
      </c>
      <c r="AK14" s="465">
        <v>6</v>
      </c>
      <c r="AL14" s="465">
        <v>7</v>
      </c>
      <c r="AM14" s="465">
        <v>6</v>
      </c>
      <c r="AN14" s="465">
        <v>7</v>
      </c>
      <c r="AO14" s="465">
        <v>6</v>
      </c>
      <c r="AP14" s="465">
        <v>7</v>
      </c>
      <c r="AQ14" s="466">
        <v>7</v>
      </c>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row>
    <row r="15" spans="1:81" ht="15.95" customHeight="1">
      <c r="A15" s="410" t="s">
        <v>415</v>
      </c>
      <c r="B15" s="349" t="s">
        <v>436</v>
      </c>
      <c r="C15" s="349"/>
      <c r="D15" s="411">
        <v>-262.00400000000002</v>
      </c>
      <c r="E15" s="411">
        <v>-359.68499999999995</v>
      </c>
      <c r="F15" s="411">
        <v>-268.33300000000008</v>
      </c>
      <c r="G15" s="411">
        <v>-391.34399999999994</v>
      </c>
      <c r="H15" s="411">
        <v>-386.35300000000001</v>
      </c>
      <c r="I15" s="411">
        <v>-387.47999999999996</v>
      </c>
      <c r="J15" s="411">
        <v>-314.70600000000002</v>
      </c>
      <c r="K15" s="411">
        <v>-385.4079999999999</v>
      </c>
      <c r="L15" s="411">
        <v>-405.18200000000002</v>
      </c>
      <c r="M15" s="411">
        <v>-379.54199999999997</v>
      </c>
      <c r="N15" s="411">
        <v>-287.15499999999997</v>
      </c>
      <c r="O15" s="411">
        <v>-415.44799999999998</v>
      </c>
      <c r="P15" s="412">
        <v>-434.52600000000001</v>
      </c>
      <c r="Q15" s="412">
        <v>-421.10199999999998</v>
      </c>
      <c r="R15" s="412">
        <v>-369.30900000000003</v>
      </c>
      <c r="S15" s="412">
        <v>-322.02699999999999</v>
      </c>
      <c r="T15" s="412">
        <v>-280.37599999999998</v>
      </c>
      <c r="U15" s="412">
        <v>-237.19</v>
      </c>
      <c r="V15" s="412">
        <v>-323.209</v>
      </c>
      <c r="W15" s="412">
        <v>-339.36500000000001</v>
      </c>
      <c r="X15" s="411">
        <v>-336.23500000000001</v>
      </c>
      <c r="Y15" s="411">
        <v>-273.10199999999998</v>
      </c>
      <c r="Z15" s="411">
        <v>-308.90199999999999</v>
      </c>
      <c r="AA15" s="411">
        <v>-267.55599999999998</v>
      </c>
      <c r="AB15" s="411">
        <v>-305.39999999999998</v>
      </c>
      <c r="AC15" s="411">
        <v>-309.95499999999998</v>
      </c>
      <c r="AD15" s="411">
        <v>-250.708</v>
      </c>
      <c r="AE15" s="411">
        <v>-244.637</v>
      </c>
      <c r="AF15" s="411">
        <v>-257</v>
      </c>
      <c r="AG15" s="411">
        <v>-236</v>
      </c>
      <c r="AH15" s="411">
        <v>-274</v>
      </c>
      <c r="AI15" s="411">
        <v>-321</v>
      </c>
      <c r="AJ15" s="411">
        <v>-317</v>
      </c>
      <c r="AK15" s="411">
        <v>-290</v>
      </c>
      <c r="AL15" s="411">
        <v>-234</v>
      </c>
      <c r="AM15" s="411">
        <v>-244</v>
      </c>
      <c r="AN15" s="411">
        <v>-314</v>
      </c>
      <c r="AO15" s="411">
        <v>-249</v>
      </c>
      <c r="AP15" s="411">
        <v>-202</v>
      </c>
      <c r="AQ15" s="414">
        <v>-285</v>
      </c>
    </row>
    <row r="16" spans="1:81" s="10" customFormat="1" ht="15.95" customHeight="1">
      <c r="A16" s="410" t="s">
        <v>416</v>
      </c>
      <c r="B16" s="349" t="s">
        <v>435</v>
      </c>
      <c r="C16" s="349"/>
      <c r="D16" s="411"/>
      <c r="E16" s="411">
        <v>0</v>
      </c>
      <c r="F16" s="411">
        <v>0</v>
      </c>
      <c r="G16" s="411">
        <v>0</v>
      </c>
      <c r="H16" s="411"/>
      <c r="I16" s="411">
        <v>0</v>
      </c>
      <c r="J16" s="411">
        <v>0</v>
      </c>
      <c r="K16" s="411">
        <v>0</v>
      </c>
      <c r="L16" s="413">
        <v>0</v>
      </c>
      <c r="M16" s="413">
        <v>0</v>
      </c>
      <c r="N16" s="413">
        <v>0</v>
      </c>
      <c r="O16" s="413">
        <v>0</v>
      </c>
      <c r="P16" s="413">
        <v>0</v>
      </c>
      <c r="Q16" s="413">
        <v>0</v>
      </c>
      <c r="R16" s="413">
        <v>0</v>
      </c>
      <c r="S16" s="413">
        <v>0</v>
      </c>
      <c r="T16" s="413">
        <v>0</v>
      </c>
      <c r="U16" s="413">
        <v>0</v>
      </c>
      <c r="V16" s="413">
        <v>0</v>
      </c>
      <c r="W16" s="413">
        <v>0</v>
      </c>
      <c r="X16" s="413">
        <v>0</v>
      </c>
      <c r="Y16" s="413">
        <v>0</v>
      </c>
      <c r="Z16" s="413">
        <v>0</v>
      </c>
      <c r="AA16" s="413">
        <v>0</v>
      </c>
      <c r="AB16" s="413">
        <v>0</v>
      </c>
      <c r="AC16" s="413">
        <v>0</v>
      </c>
      <c r="AD16" s="413">
        <v>0</v>
      </c>
      <c r="AE16" s="413">
        <v>0</v>
      </c>
      <c r="AF16" s="413">
        <v>0</v>
      </c>
      <c r="AG16" s="413">
        <v>0</v>
      </c>
      <c r="AH16" s="413">
        <v>0</v>
      </c>
      <c r="AI16" s="413">
        <v>0</v>
      </c>
      <c r="AJ16" s="413">
        <v>0</v>
      </c>
      <c r="AK16" s="413">
        <v>0</v>
      </c>
      <c r="AL16" s="413">
        <v>-22</v>
      </c>
      <c r="AM16" s="413">
        <v>22</v>
      </c>
      <c r="AN16" s="413">
        <v>0</v>
      </c>
      <c r="AO16" s="413">
        <v>0</v>
      </c>
      <c r="AP16" s="413">
        <v>-18</v>
      </c>
      <c r="AQ16" s="644">
        <v>-5</v>
      </c>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row>
    <row r="17" spans="1:81" s="10" customFormat="1" ht="15.95" customHeight="1">
      <c r="A17" s="410" t="s">
        <v>417</v>
      </c>
      <c r="B17" s="349" t="s">
        <v>429</v>
      </c>
      <c r="C17" s="349"/>
      <c r="D17" s="411">
        <v>-982.096</v>
      </c>
      <c r="E17" s="411">
        <v>-903.45</v>
      </c>
      <c r="F17" s="411">
        <v>-933.41700000000014</v>
      </c>
      <c r="G17" s="411">
        <v>-1046.7529999999997</v>
      </c>
      <c r="H17" s="411">
        <v>-916.43799999999999</v>
      </c>
      <c r="I17" s="411">
        <v>-924.44799999999998</v>
      </c>
      <c r="J17" s="411">
        <v>-1051.73</v>
      </c>
      <c r="K17" s="411">
        <v>-943.47400000000016</v>
      </c>
      <c r="L17" s="1153">
        <v>-893.03800000000001</v>
      </c>
      <c r="M17" s="1153">
        <v>-896.44600000000003</v>
      </c>
      <c r="N17" s="1153">
        <v>-928.02499999999998</v>
      </c>
      <c r="O17" s="1153">
        <v>-901.26700000000005</v>
      </c>
      <c r="P17" s="1142">
        <v>-928.63900000000001</v>
      </c>
      <c r="Q17" s="1142">
        <v>-879.59100000000001</v>
      </c>
      <c r="R17" s="1142">
        <v>-900.072</v>
      </c>
      <c r="S17" s="1142">
        <v>-1059.5809999999999</v>
      </c>
      <c r="T17" s="1142">
        <v>-902.798</v>
      </c>
      <c r="U17" s="1142">
        <v>-885.83500000000004</v>
      </c>
      <c r="V17" s="1142">
        <v>-893.39400000000001</v>
      </c>
      <c r="W17" s="1142">
        <v>-1012.62</v>
      </c>
      <c r="X17" s="1153">
        <v>-905.303</v>
      </c>
      <c r="Y17" s="1153">
        <v>-1064.7239999999999</v>
      </c>
      <c r="Z17" s="1153">
        <v>-1075.739</v>
      </c>
      <c r="AA17" s="1153">
        <v>-1091.3820000000001</v>
      </c>
      <c r="AB17" s="1153">
        <v>-1125.5229999999999</v>
      </c>
      <c r="AC17" s="1153">
        <v>-1098.653</v>
      </c>
      <c r="AD17" s="1153">
        <v>-1068.8109999999999</v>
      </c>
      <c r="AE17" s="1153">
        <v>-1853.6130000000001</v>
      </c>
      <c r="AF17" s="411">
        <v>-1137</v>
      </c>
      <c r="AG17" s="411">
        <v>-1177</v>
      </c>
      <c r="AH17" s="411">
        <v>-1150</v>
      </c>
      <c r="AI17" s="412">
        <v>-1221</v>
      </c>
      <c r="AJ17" s="411">
        <v>-1217</v>
      </c>
      <c r="AK17" s="411">
        <v>-1182</v>
      </c>
      <c r="AL17" s="411">
        <v>-1161</v>
      </c>
      <c r="AM17" s="411">
        <v>-1207</v>
      </c>
      <c r="AN17" s="411">
        <v>-1244</v>
      </c>
      <c r="AO17" s="1153">
        <v>-1220</v>
      </c>
      <c r="AP17" s="1153">
        <v>-1205</v>
      </c>
      <c r="AQ17" s="1154">
        <v>-1212</v>
      </c>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row>
    <row r="18" spans="1:81" s="27" customFormat="1" ht="15.95" customHeight="1">
      <c r="A18" s="1144" t="s">
        <v>427</v>
      </c>
      <c r="B18" s="1145" t="s">
        <v>430</v>
      </c>
      <c r="C18" s="1145"/>
      <c r="D18" s="465">
        <v>-105.71599999999999</v>
      </c>
      <c r="E18" s="465">
        <v>-99.027000000000001</v>
      </c>
      <c r="F18" s="465">
        <v>-103.86599999999999</v>
      </c>
      <c r="G18" s="465">
        <v>-112.47700000000003</v>
      </c>
      <c r="H18" s="465">
        <v>-105.958</v>
      </c>
      <c r="I18" s="465">
        <v>-107.24700000000001</v>
      </c>
      <c r="J18" s="465">
        <v>-131.09299999999999</v>
      </c>
      <c r="K18" s="465">
        <v>-115.54000000000002</v>
      </c>
      <c r="L18" s="465">
        <v>-100.03</v>
      </c>
      <c r="M18" s="465">
        <v>-103.349</v>
      </c>
      <c r="N18" s="465">
        <v>-108.706</v>
      </c>
      <c r="O18" s="465">
        <v>-108.992</v>
      </c>
      <c r="P18" s="671">
        <v>-108.31</v>
      </c>
      <c r="Q18" s="671">
        <v>-111.72199999999999</v>
      </c>
      <c r="R18" s="671">
        <v>-113.643</v>
      </c>
      <c r="S18" s="671">
        <v>-110.279</v>
      </c>
      <c r="T18" s="671">
        <v>-113.77800000000001</v>
      </c>
      <c r="U18" s="671">
        <v>-120.846</v>
      </c>
      <c r="V18" s="671">
        <v>-125.89400000000001</v>
      </c>
      <c r="W18" s="671">
        <v>-126.886</v>
      </c>
      <c r="X18" s="465">
        <v>-139.55199999999999</v>
      </c>
      <c r="Y18" s="465">
        <v>-150.899</v>
      </c>
      <c r="Z18" s="465">
        <v>-155.548</v>
      </c>
      <c r="AA18" s="465">
        <v>-163.34200000000001</v>
      </c>
      <c r="AB18" s="465">
        <v>-174.21600000000001</v>
      </c>
      <c r="AC18" s="465">
        <v>-167.81700000000001</v>
      </c>
      <c r="AD18" s="465">
        <v>-171.178</v>
      </c>
      <c r="AE18" s="465">
        <v>-215.18899999999999</v>
      </c>
      <c r="AF18" s="465">
        <v>-164</v>
      </c>
      <c r="AG18" s="465">
        <v>-178</v>
      </c>
      <c r="AH18" s="465">
        <v>-174</v>
      </c>
      <c r="AI18" s="671">
        <v>-190</v>
      </c>
      <c r="AJ18" s="465">
        <v>-180</v>
      </c>
      <c r="AK18" s="1146">
        <v>-182</v>
      </c>
      <c r="AL18" s="1146">
        <v>-190</v>
      </c>
      <c r="AM18" s="1146">
        <v>-175</v>
      </c>
      <c r="AN18" s="465">
        <v>-178</v>
      </c>
      <c r="AO18" s="465">
        <v>-173</v>
      </c>
      <c r="AP18" s="465">
        <v>-174</v>
      </c>
      <c r="AQ18" s="466">
        <v>-178</v>
      </c>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row>
    <row r="19" spans="1:81" s="10" customFormat="1" ht="15.95" customHeight="1">
      <c r="A19" s="410" t="s">
        <v>418</v>
      </c>
      <c r="B19" s="349" t="s">
        <v>174</v>
      </c>
      <c r="C19" s="349"/>
      <c r="D19" s="411"/>
      <c r="E19" s="411">
        <v>0</v>
      </c>
      <c r="F19" s="411">
        <v>0</v>
      </c>
      <c r="G19" s="411">
        <v>0</v>
      </c>
      <c r="H19" s="411"/>
      <c r="I19" s="411">
        <v>0</v>
      </c>
      <c r="J19" s="411">
        <v>0</v>
      </c>
      <c r="K19" s="411">
        <v>0</v>
      </c>
      <c r="L19" s="411">
        <v>0</v>
      </c>
      <c r="M19" s="411">
        <v>0</v>
      </c>
      <c r="N19" s="411">
        <v>0</v>
      </c>
      <c r="O19" s="411">
        <v>0</v>
      </c>
      <c r="P19" s="412">
        <v>0</v>
      </c>
      <c r="Q19" s="412">
        <v>0</v>
      </c>
      <c r="R19" s="412">
        <v>0</v>
      </c>
      <c r="S19" s="412">
        <v>0</v>
      </c>
      <c r="T19" s="412">
        <v>0</v>
      </c>
      <c r="U19" s="412">
        <v>0</v>
      </c>
      <c r="V19" s="412">
        <v>0</v>
      </c>
      <c r="W19" s="412">
        <v>0</v>
      </c>
      <c r="X19" s="411">
        <v>0</v>
      </c>
      <c r="Y19" s="411">
        <v>0</v>
      </c>
      <c r="Z19" s="411">
        <v>0</v>
      </c>
      <c r="AA19" s="411">
        <v>0</v>
      </c>
      <c r="AB19" s="411">
        <v>0</v>
      </c>
      <c r="AC19" s="411">
        <v>0</v>
      </c>
      <c r="AD19" s="411">
        <v>0</v>
      </c>
      <c r="AE19" s="411">
        <v>0</v>
      </c>
      <c r="AF19" s="411">
        <v>-104</v>
      </c>
      <c r="AG19" s="411">
        <v>-163</v>
      </c>
      <c r="AH19" s="411">
        <v>-167</v>
      </c>
      <c r="AI19" s="412">
        <v>-172</v>
      </c>
      <c r="AJ19" s="411">
        <v>-173</v>
      </c>
      <c r="AK19" s="413">
        <v>-176</v>
      </c>
      <c r="AL19" s="413">
        <v>-179</v>
      </c>
      <c r="AM19" s="413">
        <v>-182</v>
      </c>
      <c r="AN19" s="411">
        <v>-186</v>
      </c>
      <c r="AO19" s="411">
        <v>-187</v>
      </c>
      <c r="AP19" s="411">
        <v>-193</v>
      </c>
      <c r="AQ19" s="414">
        <v>-198</v>
      </c>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row>
    <row r="20" spans="1:81" s="24" customFormat="1" ht="27">
      <c r="A20" s="645" t="s">
        <v>419</v>
      </c>
      <c r="B20" s="646" t="s">
        <v>432</v>
      </c>
      <c r="C20" s="646"/>
      <c r="D20" s="436"/>
      <c r="E20" s="436">
        <v>0</v>
      </c>
      <c r="F20" s="436">
        <v>0</v>
      </c>
      <c r="G20" s="436">
        <v>0</v>
      </c>
      <c r="H20" s="436"/>
      <c r="I20" s="436">
        <v>0</v>
      </c>
      <c r="J20" s="436">
        <v>0</v>
      </c>
      <c r="K20" s="436">
        <v>0</v>
      </c>
      <c r="L20" s="436">
        <v>0</v>
      </c>
      <c r="M20" s="436">
        <v>0</v>
      </c>
      <c r="N20" s="436">
        <v>0</v>
      </c>
      <c r="O20" s="436">
        <v>0</v>
      </c>
      <c r="P20" s="432">
        <v>0</v>
      </c>
      <c r="Q20" s="432">
        <v>0</v>
      </c>
      <c r="R20" s="432">
        <v>0</v>
      </c>
      <c r="S20" s="432">
        <v>0</v>
      </c>
      <c r="T20" s="432">
        <v>0</v>
      </c>
      <c r="U20" s="432">
        <v>0</v>
      </c>
      <c r="V20" s="432">
        <v>0</v>
      </c>
      <c r="W20" s="432">
        <v>0</v>
      </c>
      <c r="X20" s="436">
        <v>0</v>
      </c>
      <c r="Y20" s="436">
        <v>0</v>
      </c>
      <c r="Z20" s="436">
        <v>0</v>
      </c>
      <c r="AA20" s="436">
        <v>0</v>
      </c>
      <c r="AB20" s="436">
        <v>0</v>
      </c>
      <c r="AC20" s="436">
        <v>0</v>
      </c>
      <c r="AD20" s="436" t="e">
        <v>#VALUE!</v>
      </c>
      <c r="AE20" s="436" t="e">
        <v>#VALUE!</v>
      </c>
      <c r="AF20" s="436">
        <v>0</v>
      </c>
      <c r="AG20" s="436">
        <v>0</v>
      </c>
      <c r="AH20" s="436">
        <v>0</v>
      </c>
      <c r="AI20" s="432">
        <v>0</v>
      </c>
      <c r="AJ20" s="436">
        <v>0</v>
      </c>
      <c r="AK20" s="413">
        <v>0</v>
      </c>
      <c r="AL20" s="413">
        <v>0</v>
      </c>
      <c r="AM20" s="413">
        <v>0</v>
      </c>
      <c r="AN20" s="436"/>
      <c r="AO20" s="436"/>
      <c r="AP20" s="436">
        <v>0</v>
      </c>
      <c r="AQ20" s="647">
        <v>0</v>
      </c>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row>
    <row r="21" spans="1:81" s="12" customFormat="1" ht="15.95" customHeight="1">
      <c r="A21" s="469" t="s">
        <v>420</v>
      </c>
      <c r="B21" s="470" t="s">
        <v>431</v>
      </c>
      <c r="C21" s="470"/>
      <c r="D21" s="471">
        <v>715.74900000000002</v>
      </c>
      <c r="E21" s="471">
        <v>863.83400000000006</v>
      </c>
      <c r="F21" s="471">
        <v>817.33300000000008</v>
      </c>
      <c r="G21" s="471">
        <v>148.40499999999975</v>
      </c>
      <c r="H21" s="471">
        <v>616.03200000000004</v>
      </c>
      <c r="I21" s="471">
        <v>727.71699999999998</v>
      </c>
      <c r="J21" s="471">
        <v>998.14700000000016</v>
      </c>
      <c r="K21" s="471">
        <v>499.04299999999967</v>
      </c>
      <c r="L21" s="471">
        <v>676.798</v>
      </c>
      <c r="M21" s="471">
        <v>765.64200000000005</v>
      </c>
      <c r="N21" s="471">
        <v>782.81299999999999</v>
      </c>
      <c r="O21" s="471">
        <v>1077.894</v>
      </c>
      <c r="P21" s="511">
        <v>770.69200000000001</v>
      </c>
      <c r="Q21" s="511">
        <v>809.26599999999996</v>
      </c>
      <c r="R21" s="511">
        <v>810.54</v>
      </c>
      <c r="S21" s="511">
        <v>678.64800000000002</v>
      </c>
      <c r="T21" s="511">
        <v>752.30899999999997</v>
      </c>
      <c r="U21" s="511">
        <v>764.66800000000001</v>
      </c>
      <c r="V21" s="511">
        <v>759.73800000000006</v>
      </c>
      <c r="W21" s="511">
        <v>703.01099999999997</v>
      </c>
      <c r="X21" s="471">
        <v>875.31899999999996</v>
      </c>
      <c r="Y21" s="471">
        <v>895.13499999999999</v>
      </c>
      <c r="Z21" s="471">
        <v>809.40800000000002</v>
      </c>
      <c r="AA21" s="471">
        <v>797.56100000000004</v>
      </c>
      <c r="AB21" s="471">
        <v>645.87</v>
      </c>
      <c r="AC21" s="471">
        <v>743.37199999999996</v>
      </c>
      <c r="AD21" s="471">
        <v>843.16600000000005</v>
      </c>
      <c r="AE21" s="471">
        <v>433.392</v>
      </c>
      <c r="AF21" s="471">
        <v>693</v>
      </c>
      <c r="AG21" s="471">
        <v>664</v>
      </c>
      <c r="AH21" s="471">
        <v>686</v>
      </c>
      <c r="AI21" s="511">
        <v>661</v>
      </c>
      <c r="AJ21" s="471">
        <v>624</v>
      </c>
      <c r="AK21" s="472">
        <v>776</v>
      </c>
      <c r="AL21" s="472">
        <v>934</v>
      </c>
      <c r="AM21" s="472">
        <v>901</v>
      </c>
      <c r="AN21" s="471">
        <v>765</v>
      </c>
      <c r="AO21" s="471">
        <v>822</v>
      </c>
      <c r="AP21" s="471">
        <v>1035</v>
      </c>
      <c r="AQ21" s="473">
        <v>981</v>
      </c>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row>
    <row r="22" spans="1:81" s="145" customFormat="1">
      <c r="A22" s="150"/>
      <c r="B22" s="150"/>
      <c r="C22" s="150"/>
      <c r="D22" s="150"/>
      <c r="E22" s="150"/>
      <c r="F22" s="150"/>
      <c r="G22" s="150"/>
      <c r="H22" s="150"/>
      <c r="I22" s="150"/>
      <c r="J22" s="150"/>
      <c r="K22" s="150"/>
      <c r="L22" s="150"/>
      <c r="M22" s="150"/>
      <c r="N22" s="150"/>
      <c r="O22" s="150"/>
      <c r="P22" s="150"/>
      <c r="Q22" s="150"/>
      <c r="R22" s="150"/>
      <c r="S22" s="150"/>
      <c r="T22" s="150"/>
      <c r="U22" s="150"/>
      <c r="V22" s="150"/>
      <c r="W22" s="257"/>
      <c r="X22" s="150"/>
      <c r="Y22" s="150"/>
      <c r="Z22" s="150"/>
      <c r="AA22" s="150"/>
      <c r="AB22" s="150"/>
      <c r="AC22" s="150"/>
      <c r="AE22" s="150"/>
      <c r="AF22" s="154"/>
      <c r="AG22" s="154"/>
      <c r="AH22" s="155"/>
      <c r="AI22" s="155"/>
      <c r="AJ22" s="155"/>
      <c r="AK22" s="155"/>
      <c r="AL22" s="155"/>
      <c r="AM22" s="155"/>
      <c r="AN22" s="155"/>
      <c r="AO22" s="155"/>
      <c r="AP22" s="155"/>
      <c r="AQ22" s="155"/>
    </row>
    <row r="23" spans="1:81" s="145" customFormat="1">
      <c r="A23" s="150"/>
      <c r="B23" s="150"/>
      <c r="C23" s="150"/>
      <c r="D23" s="150"/>
      <c r="E23" s="150"/>
      <c r="F23" s="150"/>
      <c r="G23" s="150"/>
      <c r="H23" s="150"/>
      <c r="I23" s="150"/>
      <c r="J23" s="150"/>
      <c r="K23" s="150"/>
      <c r="L23" s="150"/>
      <c r="M23" s="150"/>
      <c r="N23" s="150"/>
      <c r="O23" s="150"/>
      <c r="P23" s="150"/>
      <c r="Q23" s="150"/>
      <c r="R23" s="150"/>
      <c r="S23" s="150"/>
      <c r="T23" s="150"/>
      <c r="U23" s="150"/>
      <c r="V23" s="150"/>
      <c r="W23" s="257"/>
      <c r="X23" s="150"/>
      <c r="Y23" s="150"/>
      <c r="Z23" s="150"/>
      <c r="AA23" s="150"/>
      <c r="AB23" s="150"/>
      <c r="AC23" s="150"/>
      <c r="AE23" s="150"/>
      <c r="AF23" s="154"/>
      <c r="AG23" s="154"/>
      <c r="AH23" s="155"/>
      <c r="AI23" s="155"/>
      <c r="AJ23" s="155"/>
      <c r="AK23" s="155"/>
      <c r="AL23" s="155"/>
      <c r="AM23" s="155"/>
      <c r="AN23" s="155"/>
      <c r="AO23" s="155"/>
      <c r="AP23" s="155"/>
      <c r="AQ23" s="155"/>
    </row>
    <row r="24" spans="1:81" s="145" customFormat="1">
      <c r="A24" s="150"/>
      <c r="B24" s="150"/>
      <c r="C24" s="150"/>
      <c r="D24" s="150"/>
      <c r="E24" s="150"/>
      <c r="F24" s="150"/>
      <c r="G24" s="150"/>
      <c r="H24" s="150"/>
      <c r="I24" s="150"/>
      <c r="J24" s="150"/>
      <c r="K24" s="150"/>
      <c r="L24" s="150"/>
      <c r="M24" s="150"/>
      <c r="N24" s="150"/>
      <c r="O24" s="150"/>
      <c r="P24" s="150"/>
      <c r="Q24" s="150"/>
      <c r="R24" s="150"/>
      <c r="S24" s="150"/>
      <c r="T24" s="150"/>
      <c r="U24" s="150"/>
      <c r="V24" s="150"/>
      <c r="W24" s="257"/>
      <c r="X24" s="150"/>
      <c r="Y24" s="150"/>
      <c r="Z24" s="150"/>
      <c r="AA24" s="150"/>
      <c r="AB24" s="150"/>
      <c r="AC24" s="150"/>
      <c r="AE24" s="150"/>
      <c r="AF24" s="154"/>
      <c r="AG24" s="154"/>
      <c r="AH24" s="155"/>
      <c r="AI24" s="155"/>
      <c r="AJ24" s="155"/>
      <c r="AK24" s="155"/>
      <c r="AL24" s="155"/>
      <c r="AM24" s="155"/>
      <c r="AN24" s="155"/>
      <c r="AO24" s="155"/>
      <c r="AP24" s="155"/>
      <c r="AQ24" s="155"/>
    </row>
    <row r="25" spans="1:81" s="145" customFormat="1">
      <c r="A25" s="150"/>
      <c r="B25" s="150"/>
      <c r="C25" s="150"/>
      <c r="D25" s="150"/>
      <c r="E25" s="150"/>
      <c r="F25" s="150"/>
      <c r="G25" s="150"/>
      <c r="H25" s="150"/>
      <c r="I25" s="150"/>
      <c r="J25" s="150"/>
      <c r="K25" s="150"/>
      <c r="L25" s="150"/>
      <c r="M25" s="150"/>
      <c r="N25" s="150"/>
      <c r="O25" s="150"/>
      <c r="P25" s="150"/>
      <c r="Q25" s="150"/>
      <c r="R25" s="150"/>
      <c r="S25" s="150"/>
      <c r="T25" s="150"/>
      <c r="U25" s="150"/>
      <c r="V25" s="150"/>
      <c r="W25" s="257"/>
      <c r="X25" s="150"/>
      <c r="Y25" s="150"/>
      <c r="Z25" s="150"/>
      <c r="AA25" s="150"/>
      <c r="AB25" s="150"/>
      <c r="AC25" s="150"/>
      <c r="AE25" s="150"/>
      <c r="AF25" s="154"/>
      <c r="AG25" s="154"/>
      <c r="AH25" s="155"/>
      <c r="AI25" s="155"/>
      <c r="AJ25" s="155"/>
      <c r="AK25" s="155"/>
      <c r="AL25" s="155"/>
      <c r="AM25" s="155"/>
      <c r="AN25" s="155"/>
      <c r="AO25" s="155"/>
      <c r="AP25" s="155"/>
      <c r="AQ25" s="155"/>
    </row>
    <row r="26" spans="1:81" s="145" customFormat="1">
      <c r="A26" s="150"/>
      <c r="B26" s="150"/>
      <c r="C26" s="150"/>
      <c r="D26" s="150"/>
      <c r="E26" s="150"/>
      <c r="F26" s="150"/>
      <c r="G26" s="150"/>
      <c r="H26" s="150"/>
      <c r="I26" s="150"/>
      <c r="J26" s="150"/>
      <c r="K26" s="150"/>
      <c r="L26" s="150"/>
      <c r="M26" s="150"/>
      <c r="N26" s="150"/>
      <c r="O26" s="150"/>
      <c r="P26" s="150"/>
      <c r="Q26" s="150"/>
      <c r="R26" s="150"/>
      <c r="S26" s="150"/>
      <c r="T26" s="150"/>
      <c r="U26" s="150"/>
      <c r="V26" s="150"/>
      <c r="W26" s="257"/>
      <c r="X26" s="150"/>
      <c r="Y26" s="150"/>
      <c r="Z26" s="150"/>
      <c r="AA26" s="150"/>
      <c r="AB26" s="150"/>
      <c r="AC26" s="150"/>
      <c r="AE26" s="150"/>
      <c r="AF26" s="154"/>
      <c r="AG26" s="154"/>
      <c r="AH26" s="155"/>
      <c r="AI26" s="155"/>
      <c r="AJ26" s="155"/>
      <c r="AK26" s="155"/>
      <c r="AL26" s="155"/>
      <c r="AM26" s="155"/>
      <c r="AN26" s="155"/>
      <c r="AO26" s="155"/>
      <c r="AP26" s="155"/>
      <c r="AQ26" s="155"/>
    </row>
    <row r="27" spans="1:81" s="145" customFormat="1">
      <c r="A27" s="150"/>
      <c r="B27" s="150"/>
      <c r="C27" s="150"/>
      <c r="D27" s="150"/>
      <c r="E27" s="150"/>
      <c r="F27" s="150"/>
      <c r="G27" s="150"/>
      <c r="H27" s="150"/>
      <c r="I27" s="150"/>
      <c r="J27" s="150"/>
      <c r="K27" s="150"/>
      <c r="L27" s="150"/>
      <c r="M27" s="150"/>
      <c r="N27" s="150"/>
      <c r="O27" s="150"/>
      <c r="P27" s="150"/>
      <c r="Q27" s="150"/>
      <c r="R27" s="150"/>
      <c r="S27" s="150"/>
      <c r="T27" s="150"/>
      <c r="U27" s="150"/>
      <c r="V27" s="150"/>
      <c r="W27" s="257"/>
      <c r="X27" s="150"/>
      <c r="Y27" s="150"/>
      <c r="Z27" s="150"/>
      <c r="AA27" s="150"/>
      <c r="AB27" s="150"/>
      <c r="AC27" s="150"/>
      <c r="AE27" s="150"/>
      <c r="AF27" s="154"/>
      <c r="AG27" s="154"/>
      <c r="AH27" s="155"/>
      <c r="AI27" s="155"/>
      <c r="AJ27" s="155"/>
      <c r="AK27" s="155"/>
      <c r="AL27" s="154"/>
      <c r="AM27" s="155"/>
      <c r="AN27" s="155"/>
      <c r="AO27" s="155"/>
      <c r="AP27" s="155"/>
      <c r="AQ27" s="155"/>
    </row>
    <row r="28" spans="1:81" s="145" customFormat="1">
      <c r="A28" s="150"/>
      <c r="B28" s="150"/>
      <c r="C28" s="150"/>
      <c r="D28" s="150"/>
      <c r="E28" s="150"/>
      <c r="F28" s="150"/>
      <c r="G28" s="150"/>
      <c r="H28" s="150"/>
      <c r="I28" s="150"/>
      <c r="J28" s="150"/>
      <c r="K28" s="150"/>
      <c r="L28" s="150"/>
      <c r="M28" s="150"/>
      <c r="N28" s="150"/>
      <c r="O28" s="150"/>
      <c r="P28" s="150"/>
      <c r="Q28" s="150"/>
      <c r="R28" s="150"/>
      <c r="S28" s="150"/>
      <c r="T28" s="150"/>
      <c r="U28" s="150"/>
      <c r="V28" s="150"/>
      <c r="W28" s="257"/>
      <c r="X28" s="150"/>
      <c r="Y28" s="150"/>
      <c r="Z28" s="150"/>
      <c r="AA28" s="150"/>
      <c r="AB28" s="150"/>
      <c r="AC28" s="150"/>
      <c r="AE28" s="150"/>
      <c r="AF28" s="154"/>
      <c r="AG28" s="154"/>
      <c r="AH28" s="155"/>
      <c r="AI28" s="155"/>
      <c r="AJ28" s="155"/>
      <c r="AK28" s="155"/>
      <c r="AL28" s="154"/>
      <c r="AM28" s="154"/>
      <c r="AN28" s="155"/>
      <c r="AO28" s="155"/>
      <c r="AP28" s="155"/>
      <c r="AQ28" s="155"/>
    </row>
    <row r="29" spans="1:81" s="145" customFormat="1">
      <c r="A29" s="150"/>
      <c r="B29" s="150"/>
      <c r="C29" s="150"/>
      <c r="D29" s="150"/>
      <c r="E29" s="150"/>
      <c r="F29" s="150"/>
      <c r="G29" s="150"/>
      <c r="H29" s="150"/>
      <c r="I29" s="150"/>
      <c r="J29" s="150"/>
      <c r="K29" s="150"/>
      <c r="L29" s="150"/>
      <c r="M29" s="150"/>
      <c r="N29" s="150"/>
      <c r="O29" s="150"/>
      <c r="P29" s="150"/>
      <c r="Q29" s="150"/>
      <c r="R29" s="150"/>
      <c r="S29" s="150"/>
      <c r="T29" s="150"/>
      <c r="U29" s="150"/>
      <c r="V29" s="150"/>
      <c r="W29" s="257"/>
      <c r="X29" s="150"/>
      <c r="Y29" s="150"/>
      <c r="Z29" s="150"/>
      <c r="AA29" s="150"/>
      <c r="AB29" s="150"/>
      <c r="AC29" s="150"/>
      <c r="AE29" s="150"/>
      <c r="AF29" s="154"/>
      <c r="AG29" s="154"/>
      <c r="AH29" s="155"/>
      <c r="AI29" s="155"/>
      <c r="AJ29" s="155"/>
      <c r="AK29" s="155"/>
      <c r="AL29" s="154"/>
      <c r="AM29" s="154"/>
      <c r="AN29" s="155"/>
      <c r="AO29" s="155"/>
      <c r="AP29" s="155"/>
      <c r="AQ29" s="155"/>
    </row>
    <row r="30" spans="1:81" s="145" customFormat="1">
      <c r="A30" s="150"/>
      <c r="B30" s="150"/>
      <c r="C30" s="150"/>
      <c r="D30" s="150"/>
      <c r="E30" s="150"/>
      <c r="F30" s="150"/>
      <c r="G30" s="150"/>
      <c r="H30" s="150"/>
      <c r="I30" s="150"/>
      <c r="J30" s="150"/>
      <c r="K30" s="150"/>
      <c r="L30" s="150"/>
      <c r="M30" s="150"/>
      <c r="N30" s="150"/>
      <c r="O30" s="150"/>
      <c r="P30" s="150"/>
      <c r="Q30" s="150"/>
      <c r="R30" s="150"/>
      <c r="S30" s="150"/>
      <c r="T30" s="150"/>
      <c r="U30" s="150"/>
      <c r="V30" s="150"/>
      <c r="W30" s="257"/>
      <c r="X30" s="150"/>
      <c r="Y30" s="150"/>
      <c r="Z30" s="150"/>
      <c r="AA30" s="150"/>
      <c r="AB30" s="150"/>
      <c r="AC30" s="150"/>
      <c r="AE30" s="150"/>
      <c r="AF30" s="154"/>
      <c r="AG30" s="154"/>
      <c r="AH30" s="155"/>
      <c r="AI30" s="155"/>
      <c r="AJ30" s="155"/>
      <c r="AK30" s="155"/>
      <c r="AL30" s="155"/>
      <c r="AM30" s="154"/>
      <c r="AN30" s="155"/>
      <c r="AO30" s="155"/>
      <c r="AP30" s="155"/>
      <c r="AQ30" s="155"/>
    </row>
    <row r="31" spans="1:81" s="145" customFormat="1">
      <c r="A31" s="150"/>
      <c r="B31" s="150"/>
      <c r="C31" s="150"/>
      <c r="D31" s="150"/>
      <c r="E31" s="150"/>
      <c r="F31" s="150"/>
      <c r="G31" s="150"/>
      <c r="H31" s="150"/>
      <c r="I31" s="150"/>
      <c r="J31" s="150"/>
      <c r="K31" s="150"/>
      <c r="L31" s="150"/>
      <c r="M31" s="150"/>
      <c r="N31" s="150"/>
      <c r="O31" s="150"/>
      <c r="P31" s="150"/>
      <c r="Q31" s="150"/>
      <c r="R31" s="150"/>
      <c r="S31" s="150"/>
      <c r="T31" s="150"/>
      <c r="U31" s="150"/>
      <c r="V31" s="150"/>
      <c r="W31" s="257"/>
      <c r="X31" s="150"/>
      <c r="Y31" s="150"/>
      <c r="Z31" s="150"/>
      <c r="AA31" s="150"/>
      <c r="AB31" s="150"/>
      <c r="AC31" s="150"/>
      <c r="AE31" s="150"/>
      <c r="AF31" s="154"/>
      <c r="AG31" s="154"/>
      <c r="AH31" s="155"/>
      <c r="AI31" s="155"/>
      <c r="AJ31" s="155"/>
      <c r="AK31" s="155"/>
      <c r="AL31" s="155"/>
      <c r="AM31" s="155"/>
      <c r="AN31" s="155"/>
      <c r="AO31" s="155"/>
      <c r="AP31" s="155"/>
      <c r="AQ31" s="155"/>
    </row>
    <row r="32" spans="1:81" s="145" customFormat="1">
      <c r="A32" s="150"/>
      <c r="B32" s="150"/>
      <c r="C32" s="150"/>
      <c r="D32" s="150"/>
      <c r="E32" s="150"/>
      <c r="F32" s="150"/>
      <c r="G32" s="150"/>
      <c r="H32" s="150"/>
      <c r="I32" s="150"/>
      <c r="J32" s="150"/>
      <c r="K32" s="150"/>
      <c r="L32" s="150"/>
      <c r="M32" s="150"/>
      <c r="N32" s="150"/>
      <c r="O32" s="150"/>
      <c r="P32" s="150"/>
      <c r="Q32" s="150"/>
      <c r="R32" s="150"/>
      <c r="S32" s="150"/>
      <c r="T32" s="150"/>
      <c r="U32" s="150"/>
      <c r="V32" s="150"/>
      <c r="W32" s="257"/>
      <c r="X32" s="150"/>
      <c r="Y32" s="150"/>
      <c r="Z32" s="150"/>
      <c r="AA32" s="150"/>
      <c r="AB32" s="150"/>
      <c r="AC32" s="150"/>
      <c r="AE32" s="150"/>
      <c r="AF32" s="154"/>
      <c r="AG32" s="154"/>
      <c r="AH32" s="155"/>
      <c r="AI32" s="155"/>
      <c r="AJ32" s="155"/>
      <c r="AK32" s="155"/>
      <c r="AL32" s="155"/>
      <c r="AM32" s="155"/>
      <c r="AN32" s="155"/>
      <c r="AO32" s="155"/>
      <c r="AP32" s="155"/>
      <c r="AQ32" s="155"/>
    </row>
    <row r="33" spans="1:43" s="145" customFormat="1">
      <c r="A33" s="150"/>
      <c r="B33" s="150"/>
      <c r="C33" s="150"/>
      <c r="D33" s="150"/>
      <c r="E33" s="150"/>
      <c r="F33" s="150"/>
      <c r="G33" s="150"/>
      <c r="H33" s="150"/>
      <c r="I33" s="150"/>
      <c r="J33" s="150"/>
      <c r="K33" s="150"/>
      <c r="L33" s="150"/>
      <c r="M33" s="150"/>
      <c r="N33" s="150"/>
      <c r="O33" s="150"/>
      <c r="P33" s="150"/>
      <c r="Q33" s="150"/>
      <c r="R33" s="150"/>
      <c r="S33" s="150"/>
      <c r="T33" s="150"/>
      <c r="U33" s="150"/>
      <c r="V33" s="150"/>
      <c r="W33" s="257"/>
      <c r="X33" s="150"/>
      <c r="Y33" s="150"/>
      <c r="Z33" s="150"/>
      <c r="AA33" s="150"/>
      <c r="AB33" s="150"/>
      <c r="AC33" s="150"/>
      <c r="AE33" s="150"/>
      <c r="AF33" s="154"/>
      <c r="AG33" s="154"/>
      <c r="AH33" s="155"/>
      <c r="AI33" s="155"/>
      <c r="AJ33" s="155"/>
      <c r="AK33" s="155"/>
      <c r="AL33" s="155"/>
      <c r="AM33" s="155"/>
      <c r="AN33" s="155"/>
      <c r="AO33" s="155"/>
      <c r="AP33" s="155"/>
      <c r="AQ33" s="155"/>
    </row>
    <row r="34" spans="1:43" s="145" customFormat="1">
      <c r="A34" s="150"/>
      <c r="B34" s="150"/>
      <c r="C34" s="150"/>
      <c r="D34" s="150"/>
      <c r="E34" s="150"/>
      <c r="F34" s="150"/>
      <c r="G34" s="150"/>
      <c r="H34" s="150"/>
      <c r="I34" s="150"/>
      <c r="J34" s="150"/>
      <c r="K34" s="150"/>
      <c r="L34" s="150"/>
      <c r="M34" s="150"/>
      <c r="N34" s="150"/>
      <c r="O34" s="150"/>
      <c r="P34" s="150"/>
      <c r="Q34" s="150"/>
      <c r="R34" s="150"/>
      <c r="S34" s="150"/>
      <c r="T34" s="150"/>
      <c r="U34" s="150"/>
      <c r="V34" s="150"/>
      <c r="W34" s="257"/>
      <c r="X34" s="150"/>
      <c r="Y34" s="150"/>
      <c r="Z34" s="150"/>
      <c r="AA34" s="150"/>
      <c r="AB34" s="150"/>
      <c r="AC34" s="150"/>
      <c r="AE34" s="150"/>
      <c r="AF34" s="154"/>
      <c r="AG34" s="154"/>
      <c r="AH34" s="155"/>
      <c r="AI34" s="155"/>
      <c r="AJ34" s="155"/>
      <c r="AK34" s="155"/>
      <c r="AL34" s="155"/>
      <c r="AM34" s="155"/>
      <c r="AN34" s="155"/>
      <c r="AO34" s="155"/>
      <c r="AP34" s="155"/>
      <c r="AQ34" s="155"/>
    </row>
    <row r="35" spans="1:43" s="145" customFormat="1">
      <c r="A35" s="150"/>
      <c r="B35" s="150"/>
      <c r="C35" s="150"/>
      <c r="D35" s="150"/>
      <c r="E35" s="150"/>
      <c r="F35" s="150"/>
      <c r="G35" s="150"/>
      <c r="H35" s="150"/>
      <c r="I35" s="150"/>
      <c r="J35" s="150"/>
      <c r="K35" s="150"/>
      <c r="L35" s="150"/>
      <c r="M35" s="150"/>
      <c r="N35" s="150"/>
      <c r="O35" s="150"/>
      <c r="P35" s="150"/>
      <c r="Q35" s="150"/>
      <c r="R35" s="150"/>
      <c r="S35" s="150"/>
      <c r="T35" s="150"/>
      <c r="U35" s="150"/>
      <c r="V35" s="150"/>
      <c r="W35" s="257"/>
      <c r="X35" s="150"/>
      <c r="Y35" s="150"/>
      <c r="Z35" s="150"/>
      <c r="AA35" s="150"/>
      <c r="AB35" s="150"/>
      <c r="AC35" s="150"/>
      <c r="AE35" s="150"/>
      <c r="AF35" s="154"/>
      <c r="AG35" s="154"/>
      <c r="AH35" s="155"/>
      <c r="AI35" s="155"/>
      <c r="AJ35" s="155"/>
      <c r="AK35" s="155"/>
      <c r="AL35" s="155"/>
      <c r="AM35" s="155"/>
      <c r="AN35" s="155"/>
      <c r="AO35" s="155"/>
      <c r="AP35" s="155"/>
      <c r="AQ35" s="155"/>
    </row>
    <row r="36" spans="1:43" s="150" customFormat="1">
      <c r="A36" s="157"/>
      <c r="B36" s="157"/>
      <c r="C36" s="157"/>
      <c r="W36" s="257"/>
      <c r="AF36" s="154"/>
      <c r="AG36" s="154"/>
      <c r="AH36" s="154"/>
      <c r="AI36" s="154"/>
      <c r="AJ36" s="154"/>
      <c r="AK36" s="154"/>
      <c r="AL36" s="155"/>
      <c r="AM36" s="155"/>
      <c r="AN36" s="154"/>
      <c r="AO36" s="154"/>
      <c r="AP36" s="154"/>
      <c r="AQ36" s="154"/>
    </row>
    <row r="37" spans="1:43" s="150" customFormat="1">
      <c r="A37" s="158"/>
      <c r="B37" s="158"/>
      <c r="C37" s="158"/>
      <c r="W37" s="257"/>
      <c r="AF37" s="154"/>
      <c r="AG37" s="154"/>
      <c r="AH37" s="154"/>
      <c r="AI37" s="154"/>
      <c r="AJ37" s="154"/>
      <c r="AK37" s="154"/>
      <c r="AL37" s="155"/>
      <c r="AM37" s="155"/>
      <c r="AN37" s="154"/>
      <c r="AO37" s="154"/>
      <c r="AP37" s="154"/>
      <c r="AQ37" s="154"/>
    </row>
    <row r="38" spans="1:43" s="150" customFormat="1">
      <c r="A38" s="159"/>
      <c r="B38" s="159"/>
      <c r="C38" s="159"/>
      <c r="W38" s="257"/>
      <c r="AF38" s="154"/>
      <c r="AG38" s="154"/>
      <c r="AH38" s="154"/>
      <c r="AI38" s="154"/>
      <c r="AJ38" s="154"/>
      <c r="AK38" s="154"/>
      <c r="AL38" s="155"/>
      <c r="AM38" s="155"/>
      <c r="AN38" s="154"/>
      <c r="AO38" s="154"/>
      <c r="AP38" s="154"/>
      <c r="AQ38" s="154"/>
    </row>
    <row r="39" spans="1:43" s="145" customFormat="1">
      <c r="A39" s="160"/>
      <c r="B39" s="160"/>
      <c r="C39" s="160"/>
      <c r="D39" s="150"/>
      <c r="E39" s="150"/>
      <c r="F39" s="150"/>
      <c r="G39" s="150"/>
      <c r="H39" s="150"/>
      <c r="I39" s="150"/>
      <c r="J39" s="150"/>
      <c r="K39" s="150"/>
      <c r="L39" s="150"/>
      <c r="M39" s="150"/>
      <c r="N39" s="150"/>
      <c r="O39" s="150"/>
      <c r="P39" s="150"/>
      <c r="Q39" s="150"/>
      <c r="R39" s="150"/>
      <c r="S39" s="150"/>
      <c r="T39" s="150"/>
      <c r="U39" s="150"/>
      <c r="V39" s="150"/>
      <c r="W39" s="257"/>
      <c r="X39" s="150"/>
      <c r="Y39" s="150"/>
      <c r="Z39" s="150"/>
      <c r="AA39" s="150"/>
      <c r="AB39" s="150"/>
      <c r="AC39" s="150"/>
      <c r="AE39" s="150"/>
      <c r="AF39" s="154"/>
      <c r="AG39" s="154"/>
      <c r="AH39" s="155"/>
      <c r="AI39" s="155"/>
      <c r="AJ39" s="155"/>
      <c r="AK39" s="155"/>
      <c r="AL39" s="155"/>
      <c r="AM39" s="155"/>
      <c r="AN39" s="155"/>
      <c r="AO39" s="155"/>
      <c r="AP39" s="155"/>
      <c r="AQ39" s="155"/>
    </row>
    <row r="40" spans="1:43" s="145" customFormat="1">
      <c r="A40" s="160"/>
      <c r="B40" s="160"/>
      <c r="C40" s="160"/>
      <c r="D40" s="150"/>
      <c r="E40" s="150"/>
      <c r="F40" s="150"/>
      <c r="G40" s="150"/>
      <c r="H40" s="150"/>
      <c r="I40" s="150"/>
      <c r="J40" s="150"/>
      <c r="K40" s="150"/>
      <c r="L40" s="150"/>
      <c r="M40" s="150"/>
      <c r="N40" s="150"/>
      <c r="O40" s="150"/>
      <c r="P40" s="150"/>
      <c r="Q40" s="150"/>
      <c r="R40" s="150"/>
      <c r="S40" s="150"/>
      <c r="T40" s="150"/>
      <c r="U40" s="150"/>
      <c r="V40" s="150"/>
      <c r="W40" s="257"/>
      <c r="X40" s="150"/>
      <c r="Y40" s="150"/>
      <c r="Z40" s="150"/>
      <c r="AA40" s="150"/>
      <c r="AB40" s="150"/>
      <c r="AC40" s="150"/>
      <c r="AE40" s="150"/>
      <c r="AF40" s="154"/>
      <c r="AG40" s="154"/>
      <c r="AH40" s="155"/>
      <c r="AI40" s="155"/>
      <c r="AJ40" s="155"/>
      <c r="AK40" s="155"/>
      <c r="AL40" s="155"/>
      <c r="AM40" s="155"/>
      <c r="AN40" s="155"/>
      <c r="AO40" s="155"/>
      <c r="AP40" s="155"/>
      <c r="AQ40" s="155"/>
    </row>
    <row r="41" spans="1:43" s="145" customFormat="1">
      <c r="A41" s="160"/>
      <c r="B41" s="160"/>
      <c r="C41" s="160"/>
      <c r="D41" s="150"/>
      <c r="E41" s="150"/>
      <c r="F41" s="150"/>
      <c r="G41" s="150"/>
      <c r="H41" s="150"/>
      <c r="I41" s="150"/>
      <c r="J41" s="150"/>
      <c r="K41" s="150"/>
      <c r="L41" s="150"/>
      <c r="M41" s="150"/>
      <c r="N41" s="150"/>
      <c r="O41" s="150"/>
      <c r="P41" s="150"/>
      <c r="Q41" s="150"/>
      <c r="R41" s="150"/>
      <c r="S41" s="150"/>
      <c r="T41" s="150"/>
      <c r="U41" s="150"/>
      <c r="V41" s="150"/>
      <c r="W41" s="257"/>
      <c r="X41" s="150"/>
      <c r="Y41" s="150"/>
      <c r="Z41" s="150"/>
      <c r="AA41" s="150"/>
      <c r="AB41" s="150"/>
      <c r="AC41" s="150"/>
      <c r="AE41" s="150"/>
      <c r="AF41" s="154"/>
      <c r="AG41" s="154"/>
      <c r="AH41" s="155"/>
      <c r="AI41" s="155"/>
      <c r="AJ41" s="155"/>
      <c r="AK41" s="155"/>
      <c r="AL41" s="155"/>
      <c r="AM41" s="155"/>
      <c r="AN41" s="155"/>
      <c r="AO41" s="155"/>
      <c r="AP41" s="155"/>
      <c r="AQ41" s="155"/>
    </row>
    <row r="42" spans="1:43" s="145" customFormat="1">
      <c r="A42" s="160"/>
      <c r="B42" s="160"/>
      <c r="C42" s="160"/>
      <c r="D42" s="150"/>
      <c r="E42" s="150"/>
      <c r="F42" s="150"/>
      <c r="G42" s="150"/>
      <c r="H42" s="150"/>
      <c r="I42" s="150"/>
      <c r="J42" s="150"/>
      <c r="K42" s="150"/>
      <c r="L42" s="150"/>
      <c r="M42" s="150"/>
      <c r="N42" s="150"/>
      <c r="O42" s="150"/>
      <c r="P42" s="150"/>
      <c r="Q42" s="150"/>
      <c r="R42" s="150"/>
      <c r="S42" s="150"/>
      <c r="T42" s="150"/>
      <c r="U42" s="150"/>
      <c r="V42" s="150"/>
      <c r="W42" s="257"/>
      <c r="X42" s="150"/>
      <c r="Y42" s="150"/>
      <c r="Z42" s="150"/>
      <c r="AA42" s="150"/>
      <c r="AB42" s="150"/>
      <c r="AC42" s="150"/>
      <c r="AE42" s="150"/>
      <c r="AF42" s="154"/>
      <c r="AG42" s="154"/>
      <c r="AH42" s="155"/>
      <c r="AI42" s="155"/>
      <c r="AJ42" s="155"/>
      <c r="AK42" s="155"/>
      <c r="AL42" s="155"/>
      <c r="AM42" s="155"/>
      <c r="AN42" s="155"/>
      <c r="AO42" s="155"/>
      <c r="AP42" s="155"/>
      <c r="AQ42" s="155"/>
    </row>
    <row r="43" spans="1:43" s="145" customFormat="1">
      <c r="A43" s="160"/>
      <c r="B43" s="160"/>
      <c r="C43" s="160"/>
      <c r="D43" s="150"/>
      <c r="E43" s="150"/>
      <c r="F43" s="150"/>
      <c r="G43" s="150"/>
      <c r="H43" s="150"/>
      <c r="I43" s="150"/>
      <c r="J43" s="150"/>
      <c r="K43" s="150"/>
      <c r="L43" s="150"/>
      <c r="M43" s="150"/>
      <c r="N43" s="150"/>
      <c r="O43" s="150"/>
      <c r="P43" s="150"/>
      <c r="Q43" s="150"/>
      <c r="R43" s="150"/>
      <c r="S43" s="150"/>
      <c r="T43" s="150"/>
      <c r="U43" s="150"/>
      <c r="V43" s="150"/>
      <c r="W43" s="257"/>
      <c r="X43" s="150"/>
      <c r="Y43" s="150"/>
      <c r="Z43" s="150"/>
      <c r="AA43" s="150"/>
      <c r="AB43" s="150"/>
      <c r="AC43" s="150"/>
      <c r="AE43" s="150"/>
      <c r="AF43" s="154"/>
      <c r="AG43" s="154"/>
      <c r="AH43" s="155"/>
      <c r="AI43" s="155"/>
      <c r="AJ43" s="155"/>
      <c r="AK43" s="155"/>
      <c r="AL43" s="155"/>
      <c r="AM43" s="155"/>
      <c r="AN43" s="155"/>
      <c r="AO43" s="155"/>
      <c r="AP43" s="155"/>
      <c r="AQ43" s="155"/>
    </row>
    <row r="44" spans="1:43" s="145" customFormat="1">
      <c r="A44" s="160"/>
      <c r="B44" s="160"/>
      <c r="C44" s="160"/>
      <c r="D44" s="150"/>
      <c r="E44" s="150"/>
      <c r="F44" s="150"/>
      <c r="G44" s="150"/>
      <c r="H44" s="150"/>
      <c r="I44" s="150"/>
      <c r="J44" s="150"/>
      <c r="K44" s="150"/>
      <c r="L44" s="150"/>
      <c r="M44" s="150"/>
      <c r="N44" s="150"/>
      <c r="O44" s="150"/>
      <c r="P44" s="150"/>
      <c r="Q44" s="150"/>
      <c r="R44" s="150"/>
      <c r="S44" s="150"/>
      <c r="T44" s="150"/>
      <c r="U44" s="150"/>
      <c r="V44" s="150"/>
      <c r="W44" s="257"/>
      <c r="X44" s="150"/>
      <c r="Y44" s="150"/>
      <c r="Z44" s="150"/>
      <c r="AA44" s="150"/>
      <c r="AB44" s="150"/>
      <c r="AC44" s="150"/>
      <c r="AE44" s="150"/>
      <c r="AF44" s="154"/>
      <c r="AG44" s="154"/>
      <c r="AH44" s="155"/>
      <c r="AI44" s="155"/>
      <c r="AJ44" s="155"/>
      <c r="AK44" s="155"/>
      <c r="AL44" s="155"/>
      <c r="AM44" s="155"/>
      <c r="AN44" s="155"/>
      <c r="AO44" s="155"/>
      <c r="AP44" s="155"/>
      <c r="AQ44" s="155"/>
    </row>
    <row r="45" spans="1:43" s="145" customFormat="1">
      <c r="A45" s="160"/>
      <c r="B45" s="160"/>
      <c r="C45" s="160"/>
      <c r="D45" s="150"/>
      <c r="E45" s="150"/>
      <c r="F45" s="150"/>
      <c r="G45" s="150"/>
      <c r="H45" s="150"/>
      <c r="I45" s="150"/>
      <c r="J45" s="150"/>
      <c r="K45" s="150"/>
      <c r="L45" s="150"/>
      <c r="M45" s="150"/>
      <c r="N45" s="150"/>
      <c r="O45" s="150"/>
      <c r="P45" s="150"/>
      <c r="Q45" s="150"/>
      <c r="R45" s="150"/>
      <c r="S45" s="150"/>
      <c r="T45" s="150"/>
      <c r="U45" s="150"/>
      <c r="V45" s="150"/>
      <c r="W45" s="257"/>
      <c r="X45" s="150"/>
      <c r="Y45" s="150"/>
      <c r="Z45" s="150"/>
      <c r="AA45" s="150"/>
      <c r="AB45" s="150"/>
      <c r="AC45" s="150"/>
      <c r="AE45" s="150"/>
      <c r="AF45" s="154"/>
      <c r="AG45" s="154"/>
      <c r="AH45" s="155"/>
      <c r="AI45" s="155"/>
      <c r="AJ45" s="155"/>
      <c r="AK45" s="155"/>
      <c r="AL45" s="155"/>
      <c r="AM45" s="155"/>
      <c r="AN45" s="155"/>
      <c r="AO45" s="155"/>
      <c r="AP45" s="155"/>
      <c r="AQ45" s="155"/>
    </row>
    <row r="46" spans="1:43" s="145" customFormat="1">
      <c r="A46" s="160"/>
      <c r="B46" s="160"/>
      <c r="C46" s="160"/>
      <c r="D46" s="150"/>
      <c r="E46" s="150"/>
      <c r="F46" s="150"/>
      <c r="G46" s="150"/>
      <c r="H46" s="150"/>
      <c r="I46" s="150"/>
      <c r="J46" s="150"/>
      <c r="K46" s="150"/>
      <c r="L46" s="150"/>
      <c r="M46" s="150"/>
      <c r="N46" s="150"/>
      <c r="O46" s="150"/>
      <c r="P46" s="150"/>
      <c r="Q46" s="150"/>
      <c r="R46" s="150"/>
      <c r="S46" s="150"/>
      <c r="T46" s="150"/>
      <c r="U46" s="150"/>
      <c r="V46" s="150"/>
      <c r="W46" s="257"/>
      <c r="X46" s="150"/>
      <c r="Y46" s="150"/>
      <c r="Z46" s="150"/>
      <c r="AA46" s="150"/>
      <c r="AB46" s="150"/>
      <c r="AC46" s="150"/>
      <c r="AE46" s="150"/>
      <c r="AF46" s="154"/>
      <c r="AG46" s="154"/>
      <c r="AH46" s="155"/>
      <c r="AI46" s="155"/>
      <c r="AJ46" s="155"/>
      <c r="AK46" s="155"/>
      <c r="AL46" s="155"/>
      <c r="AM46" s="155"/>
      <c r="AN46" s="155"/>
      <c r="AO46" s="155"/>
      <c r="AP46" s="155"/>
      <c r="AQ46" s="155"/>
    </row>
    <row r="47" spans="1:43" s="145" customFormat="1">
      <c r="A47" s="160"/>
      <c r="B47" s="160"/>
      <c r="C47" s="160"/>
      <c r="D47" s="150"/>
      <c r="E47" s="150"/>
      <c r="F47" s="150"/>
      <c r="G47" s="150"/>
      <c r="H47" s="150"/>
      <c r="I47" s="150"/>
      <c r="J47" s="150"/>
      <c r="K47" s="150"/>
      <c r="L47" s="150"/>
      <c r="M47" s="150"/>
      <c r="N47" s="150"/>
      <c r="O47" s="150"/>
      <c r="P47" s="150"/>
      <c r="Q47" s="150"/>
      <c r="R47" s="150"/>
      <c r="S47" s="150"/>
      <c r="T47" s="150"/>
      <c r="U47" s="150"/>
      <c r="V47" s="150"/>
      <c r="W47" s="257"/>
      <c r="X47" s="150"/>
      <c r="Y47" s="150"/>
      <c r="Z47" s="150"/>
      <c r="AA47" s="150"/>
      <c r="AB47" s="150"/>
      <c r="AC47" s="150"/>
      <c r="AE47" s="150"/>
      <c r="AF47" s="154"/>
      <c r="AG47" s="154"/>
      <c r="AH47" s="155"/>
      <c r="AI47" s="155"/>
      <c r="AJ47" s="155"/>
      <c r="AK47" s="155"/>
      <c r="AL47" s="155"/>
      <c r="AM47" s="155"/>
      <c r="AN47" s="155"/>
      <c r="AO47" s="155"/>
      <c r="AP47" s="155"/>
      <c r="AQ47" s="155"/>
    </row>
    <row r="48" spans="1:43" s="145" customFormat="1">
      <c r="W48" s="258"/>
    </row>
    <row r="49" spans="23:23" s="145" customFormat="1">
      <c r="W49" s="258"/>
    </row>
    <row r="50" spans="23:23" s="145" customFormat="1">
      <c r="W50" s="258"/>
    </row>
    <row r="51" spans="23:23" s="145" customFormat="1">
      <c r="W51" s="258"/>
    </row>
    <row r="52" spans="23:23" s="145" customFormat="1">
      <c r="W52" s="258"/>
    </row>
    <row r="53" spans="23:23" s="145" customFormat="1">
      <c r="W53" s="258"/>
    </row>
    <row r="54" spans="23:23" s="145" customFormat="1">
      <c r="W54" s="258"/>
    </row>
    <row r="55" spans="23:23" s="145" customFormat="1">
      <c r="W55" s="258"/>
    </row>
    <row r="56" spans="23:23" s="145" customFormat="1">
      <c r="W56" s="258"/>
    </row>
    <row r="57" spans="23:23" s="145" customFormat="1">
      <c r="W57" s="258"/>
    </row>
    <row r="58" spans="23:23" s="145" customFormat="1">
      <c r="W58" s="258"/>
    </row>
    <row r="59" spans="23:23" s="145" customFormat="1">
      <c r="W59" s="258"/>
    </row>
    <row r="60" spans="23:23" s="145" customFormat="1">
      <c r="W60" s="258"/>
    </row>
    <row r="61" spans="23:23" s="145" customFormat="1">
      <c r="W61" s="258"/>
    </row>
    <row r="62" spans="23:23" s="145" customFormat="1">
      <c r="W62" s="258"/>
    </row>
    <row r="63" spans="23:23" s="145" customFormat="1">
      <c r="W63" s="258"/>
    </row>
    <row r="64" spans="23:23" s="145" customFormat="1">
      <c r="W64" s="258"/>
    </row>
    <row r="65" spans="1:43" s="145" customFormat="1">
      <c r="W65" s="258"/>
    </row>
    <row r="66" spans="1:43" s="145" customFormat="1">
      <c r="W66" s="258"/>
    </row>
    <row r="67" spans="1:43" s="145" customFormat="1">
      <c r="W67" s="258"/>
    </row>
    <row r="68" spans="1:43" s="145" customFormat="1">
      <c r="W68" s="258"/>
    </row>
    <row r="69" spans="1:43" s="145" customFormat="1">
      <c r="W69" s="258"/>
    </row>
    <row r="70" spans="1:43" s="145" customFormat="1">
      <c r="W70" s="258"/>
    </row>
    <row r="71" spans="1:43" s="145" customFormat="1">
      <c r="W71" s="258"/>
    </row>
    <row r="72" spans="1:43" s="145" customFormat="1">
      <c r="W72" s="258"/>
    </row>
    <row r="73" spans="1:43">
      <c r="A73" s="5"/>
      <c r="B73" s="5"/>
      <c r="C73" s="5"/>
      <c r="D73" s="5"/>
      <c r="E73" s="5"/>
      <c r="F73" s="5"/>
      <c r="G73" s="5"/>
      <c r="H73" s="5"/>
      <c r="I73" s="5"/>
      <c r="J73" s="5"/>
      <c r="K73" s="5"/>
      <c r="L73" s="5"/>
      <c r="M73" s="5"/>
      <c r="N73" s="5"/>
      <c r="O73" s="5"/>
      <c r="P73" s="5"/>
      <c r="Q73" s="5"/>
      <c r="R73" s="5"/>
      <c r="S73" s="5"/>
      <c r="T73" s="5"/>
      <c r="U73" s="5"/>
      <c r="V73" s="5"/>
      <c r="W73" s="53"/>
      <c r="X73" s="5"/>
      <c r="Y73" s="5"/>
      <c r="Z73" s="5"/>
      <c r="AA73" s="5"/>
      <c r="AB73" s="5"/>
      <c r="AC73" s="5"/>
      <c r="AE73" s="5"/>
      <c r="AF73" s="5"/>
      <c r="AG73" s="5"/>
      <c r="AH73" s="5"/>
      <c r="AI73" s="5"/>
      <c r="AJ73" s="5"/>
      <c r="AK73" s="5"/>
      <c r="AL73" s="5"/>
      <c r="AM73" s="5"/>
      <c r="AN73" s="5"/>
      <c r="AO73" s="5"/>
      <c r="AP73" s="5"/>
      <c r="AQ73" s="5"/>
    </row>
    <row r="74" spans="1:43">
      <c r="A74" s="5"/>
      <c r="B74" s="5"/>
      <c r="C74" s="5"/>
      <c r="D74" s="5"/>
      <c r="E74" s="5"/>
      <c r="F74" s="5"/>
      <c r="G74" s="5"/>
      <c r="H74" s="5"/>
      <c r="I74" s="5"/>
      <c r="J74" s="5"/>
      <c r="K74" s="5"/>
      <c r="L74" s="5"/>
      <c r="M74" s="5"/>
      <c r="N74" s="5"/>
      <c r="O74" s="5"/>
      <c r="P74" s="5"/>
      <c r="Q74" s="5"/>
      <c r="R74" s="5"/>
      <c r="S74" s="5"/>
      <c r="T74" s="5"/>
      <c r="U74" s="5"/>
      <c r="V74" s="5"/>
      <c r="W74" s="53"/>
      <c r="X74" s="5"/>
      <c r="Y74" s="5"/>
      <c r="Z74" s="5"/>
      <c r="AA74" s="5"/>
      <c r="AB74" s="5"/>
      <c r="AC74" s="5"/>
      <c r="AE74" s="5"/>
      <c r="AF74" s="5"/>
      <c r="AG74" s="5"/>
      <c r="AH74" s="5"/>
      <c r="AI74" s="5"/>
      <c r="AJ74" s="5"/>
      <c r="AK74" s="5"/>
      <c r="AL74" s="5"/>
      <c r="AM74" s="5"/>
      <c r="AN74" s="5"/>
      <c r="AO74" s="5"/>
      <c r="AP74" s="5"/>
      <c r="AQ74" s="5"/>
    </row>
    <row r="75" spans="1:43">
      <c r="A75" s="5"/>
      <c r="B75" s="5"/>
      <c r="C75" s="5"/>
      <c r="D75" s="5"/>
      <c r="E75" s="5"/>
      <c r="F75" s="5"/>
      <c r="G75" s="5"/>
      <c r="H75" s="5"/>
      <c r="I75" s="5"/>
      <c r="J75" s="5"/>
      <c r="K75" s="5"/>
      <c r="L75" s="5"/>
      <c r="M75" s="5"/>
      <c r="N75" s="5"/>
      <c r="O75" s="5"/>
      <c r="P75" s="5"/>
      <c r="Q75" s="5"/>
      <c r="R75" s="5"/>
      <c r="S75" s="5"/>
      <c r="T75" s="5"/>
      <c r="U75" s="5"/>
      <c r="V75" s="5"/>
      <c r="W75" s="53"/>
      <c r="X75" s="5"/>
      <c r="Y75" s="5"/>
      <c r="Z75" s="5"/>
      <c r="AA75" s="5"/>
      <c r="AB75" s="5"/>
      <c r="AC75" s="5"/>
      <c r="AE75" s="5"/>
      <c r="AF75" s="5"/>
      <c r="AG75" s="5"/>
      <c r="AH75" s="5"/>
      <c r="AI75" s="5"/>
      <c r="AJ75" s="5"/>
      <c r="AK75" s="5"/>
      <c r="AL75" s="5"/>
      <c r="AM75" s="5"/>
      <c r="AN75" s="5"/>
      <c r="AO75" s="5"/>
      <c r="AP75" s="5"/>
      <c r="AQ75" s="5"/>
    </row>
    <row r="76" spans="1:43">
      <c r="A76" s="5"/>
      <c r="B76" s="5"/>
      <c r="C76" s="5"/>
      <c r="D76" s="5"/>
      <c r="E76" s="5"/>
      <c r="F76" s="5"/>
      <c r="G76" s="5"/>
      <c r="H76" s="5"/>
      <c r="I76" s="5"/>
      <c r="J76" s="5"/>
      <c r="K76" s="5"/>
      <c r="L76" s="5"/>
      <c r="M76" s="5"/>
      <c r="N76" s="5"/>
      <c r="O76" s="5"/>
      <c r="P76" s="5"/>
      <c r="Q76" s="5"/>
      <c r="R76" s="5"/>
      <c r="S76" s="5"/>
      <c r="T76" s="5"/>
      <c r="U76" s="5"/>
      <c r="V76" s="5"/>
      <c r="W76" s="53"/>
      <c r="X76" s="5"/>
      <c r="Y76" s="5"/>
      <c r="Z76" s="5"/>
      <c r="AA76" s="5"/>
      <c r="AB76" s="5"/>
      <c r="AC76" s="5"/>
      <c r="AE76" s="5"/>
      <c r="AF76" s="5"/>
      <c r="AG76" s="5"/>
      <c r="AH76" s="5"/>
      <c r="AI76" s="5"/>
      <c r="AJ76" s="5"/>
      <c r="AK76" s="5"/>
      <c r="AL76" s="5"/>
      <c r="AM76" s="5"/>
      <c r="AN76" s="5"/>
      <c r="AO76" s="5"/>
      <c r="AP76" s="5"/>
      <c r="AQ76" s="5"/>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7" fitToHeight="0" orientation="portrait" r:id="rId1"/>
  <headerFooter>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BY77"/>
  <sheetViews>
    <sheetView view="pageBreakPreview" zoomScaleNormal="100" zoomScaleSheetLayoutView="100" workbookViewId="0">
      <pane xSplit="1" topLeftCell="AJ1" activePane="topRight" state="frozen"/>
      <selection pane="topRight" activeCell="P2" sqref="P2:P3"/>
    </sheetView>
  </sheetViews>
  <sheetFormatPr defaultColWidth="8.7109375" defaultRowHeight="13.5" outlineLevelCol="2"/>
  <cols>
    <col min="1" max="1" width="45.7109375" style="36" customWidth="1"/>
    <col min="2" max="2" width="45.85546875" style="36" customWidth="1"/>
    <col min="3" max="3" width="3.42578125" style="36" hidden="1" customWidth="1"/>
    <col min="4" max="7" width="13.85546875" style="52" hidden="1" customWidth="1" outlineLevel="2"/>
    <col min="8" max="11" width="13.85546875" style="11" hidden="1" customWidth="1" outlineLevel="2"/>
    <col min="12" max="35" width="13.85546875" style="10" hidden="1" customWidth="1" outlineLevel="2"/>
    <col min="36" max="36" width="13.85546875" style="7" customWidth="1" collapsed="1"/>
    <col min="37" max="43" width="13.85546875" style="7" customWidth="1"/>
    <col min="44" max="77" width="8.7109375" style="145"/>
    <col min="78" max="16384" width="8.7109375" style="5"/>
  </cols>
  <sheetData>
    <row r="1" spans="1:77" ht="30" customHeight="1">
      <c r="A1" s="1169" t="s">
        <v>428</v>
      </c>
      <c r="B1" s="1169" t="s">
        <v>439</v>
      </c>
      <c r="C1" s="1169"/>
      <c r="D1" s="1140"/>
      <c r="E1" s="1140"/>
      <c r="F1" s="1140"/>
      <c r="G1" s="1140"/>
      <c r="H1" s="10"/>
      <c r="I1" s="10"/>
      <c r="J1" s="10"/>
      <c r="K1" s="10"/>
      <c r="AQ1" s="303" t="s">
        <v>800</v>
      </c>
    </row>
    <row r="2" spans="1:77" ht="28.5" customHeight="1">
      <c r="A2" s="1169" t="s">
        <v>0</v>
      </c>
      <c r="B2" s="1169" t="s">
        <v>165</v>
      </c>
      <c r="C2" s="1169"/>
      <c r="D2" s="1140"/>
      <c r="E2" s="1140"/>
      <c r="F2" s="1140"/>
      <c r="G2" s="1140"/>
      <c r="H2" s="10"/>
      <c r="I2" s="10"/>
      <c r="J2" s="10"/>
      <c r="K2" s="10"/>
      <c r="P2" s="1307" t="s">
        <v>874</v>
      </c>
      <c r="Q2" s="1307" t="s">
        <v>874</v>
      </c>
      <c r="R2" s="1307" t="s">
        <v>874</v>
      </c>
      <c r="S2" s="1307" t="s">
        <v>874</v>
      </c>
      <c r="T2" s="390"/>
      <c r="U2" s="390"/>
      <c r="V2" s="390"/>
      <c r="AQ2" s="303" t="s">
        <v>801</v>
      </c>
    </row>
    <row r="3" spans="1:77" s="10" customFormat="1" ht="14.25" thickBot="1">
      <c r="A3" s="259"/>
      <c r="B3" s="259"/>
      <c r="C3" s="259"/>
      <c r="D3" s="261"/>
      <c r="E3" s="261"/>
      <c r="F3" s="261"/>
      <c r="G3" s="261"/>
      <c r="H3" s="260"/>
      <c r="I3" s="260"/>
      <c r="J3" s="260"/>
      <c r="K3" s="260"/>
      <c r="P3" s="134" t="s">
        <v>873</v>
      </c>
      <c r="Q3" s="134" t="s">
        <v>873</v>
      </c>
      <c r="R3" s="134" t="s">
        <v>873</v>
      </c>
      <c r="S3" s="134" t="s">
        <v>873</v>
      </c>
      <c r="T3" s="134"/>
      <c r="U3" s="134"/>
      <c r="V3" s="134"/>
      <c r="AJ3" s="51"/>
      <c r="AK3" s="51"/>
      <c r="AL3" s="51"/>
      <c r="AM3" s="51"/>
      <c r="AN3" s="51"/>
      <c r="AO3" s="51"/>
      <c r="AP3" s="51"/>
      <c r="AQ3" s="51"/>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row>
    <row r="4" spans="1:77" s="74" customFormat="1" ht="19.5" customHeight="1" thickBot="1">
      <c r="A4" s="343" t="s">
        <v>391</v>
      </c>
      <c r="B4" s="305" t="s">
        <v>180</v>
      </c>
      <c r="C4" s="305"/>
      <c r="D4" s="1155" t="s">
        <v>717</v>
      </c>
      <c r="E4" s="1155" t="s">
        <v>718</v>
      </c>
      <c r="F4" s="1155" t="s">
        <v>719</v>
      </c>
      <c r="G4" s="1155" t="s">
        <v>720</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305" t="s">
        <v>43</v>
      </c>
      <c r="X4" s="305" t="s">
        <v>110</v>
      </c>
      <c r="Y4" s="305" t="s">
        <v>111</v>
      </c>
      <c r="Z4" s="305" t="s">
        <v>113</v>
      </c>
      <c r="AA4" s="305" t="s">
        <v>120</v>
      </c>
      <c r="AB4" s="305" t="s">
        <v>114</v>
      </c>
      <c r="AC4" s="305" t="s">
        <v>116</v>
      </c>
      <c r="AD4" s="305" t="s">
        <v>117</v>
      </c>
      <c r="AE4" s="305" t="s">
        <v>119</v>
      </c>
      <c r="AF4" s="305" t="s">
        <v>121</v>
      </c>
      <c r="AG4" s="305" t="s">
        <v>123</v>
      </c>
      <c r="AH4" s="305" t="s">
        <v>124</v>
      </c>
      <c r="AI4" s="305" t="s">
        <v>125</v>
      </c>
      <c r="AJ4" s="306" t="s">
        <v>127</v>
      </c>
      <c r="AK4" s="306" t="s">
        <v>128</v>
      </c>
      <c r="AL4" s="306" t="s">
        <v>129</v>
      </c>
      <c r="AM4" s="306" t="s">
        <v>130</v>
      </c>
      <c r="AN4" s="306" t="s">
        <v>131</v>
      </c>
      <c r="AO4" s="306" t="s">
        <v>223</v>
      </c>
      <c r="AP4" s="306" t="s">
        <v>224</v>
      </c>
      <c r="AQ4" s="344" t="s">
        <v>511</v>
      </c>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row>
    <row r="5" spans="1:77" ht="15.95" customHeight="1">
      <c r="A5" s="444" t="s">
        <v>3</v>
      </c>
      <c r="B5" s="445" t="s">
        <v>143</v>
      </c>
      <c r="C5" s="445"/>
      <c r="D5" s="1160">
        <v>-74.128999999999991</v>
      </c>
      <c r="E5" s="1160">
        <v>-167.87200000000004</v>
      </c>
      <c r="F5" s="1160">
        <v>-78.559000000000026</v>
      </c>
      <c r="G5" s="1160">
        <v>259.28000000000009</v>
      </c>
      <c r="H5" s="446">
        <v>225.58999999999997</v>
      </c>
      <c r="I5" s="446">
        <v>230.08200000000005</v>
      </c>
      <c r="J5" s="446">
        <v>218.61199999999997</v>
      </c>
      <c r="K5" s="446">
        <v>243.67400000000009</v>
      </c>
      <c r="L5" s="446">
        <v>111.53700000000001</v>
      </c>
      <c r="M5" s="446">
        <v>177.452</v>
      </c>
      <c r="N5" s="446">
        <v>177.899</v>
      </c>
      <c r="O5" s="446">
        <v>127.816</v>
      </c>
      <c r="P5" s="447">
        <v>141.56700000000001</v>
      </c>
      <c r="Q5" s="447">
        <v>151.65</v>
      </c>
      <c r="R5" s="447">
        <v>153.804</v>
      </c>
      <c r="S5" s="447">
        <v>117.68899999999999</v>
      </c>
      <c r="T5" s="447">
        <f>144.348+58.939</f>
        <v>203.28700000000001</v>
      </c>
      <c r="U5" s="447">
        <v>215.87100000000001</v>
      </c>
      <c r="V5" s="447">
        <v>230.99100000000001</v>
      </c>
      <c r="W5" s="447">
        <v>235.19000000000008</v>
      </c>
      <c r="X5" s="447">
        <v>225.41300000000001</v>
      </c>
      <c r="Y5" s="447">
        <v>284.89499999999998</v>
      </c>
      <c r="Z5" s="447">
        <v>297.392</v>
      </c>
      <c r="AA5" s="447">
        <v>315.25200000000001</v>
      </c>
      <c r="AB5" s="446">
        <v>272.57499999999999</v>
      </c>
      <c r="AC5" s="446">
        <v>287.00200000000001</v>
      </c>
      <c r="AD5" s="446">
        <v>299.053</v>
      </c>
      <c r="AE5" s="446">
        <v>154.97</v>
      </c>
      <c r="AF5" s="446">
        <v>304</v>
      </c>
      <c r="AG5" s="446">
        <v>281</v>
      </c>
      <c r="AH5" s="446">
        <v>313</v>
      </c>
      <c r="AI5" s="446">
        <v>305</v>
      </c>
      <c r="AJ5" s="447">
        <v>322</v>
      </c>
      <c r="AK5" s="447">
        <v>343</v>
      </c>
      <c r="AL5" s="447">
        <v>330</v>
      </c>
      <c r="AM5" s="447">
        <v>408</v>
      </c>
      <c r="AN5" s="448">
        <v>340</v>
      </c>
      <c r="AO5" s="448">
        <v>352</v>
      </c>
      <c r="AP5" s="448">
        <v>416</v>
      </c>
      <c r="AQ5" s="1161">
        <v>435</v>
      </c>
    </row>
    <row r="6" spans="1:77" s="10" customFormat="1" ht="15.95" customHeight="1">
      <c r="A6" s="410" t="s">
        <v>6</v>
      </c>
      <c r="B6" s="349" t="s">
        <v>146</v>
      </c>
      <c r="C6" s="349"/>
      <c r="D6" s="1156">
        <v>69.378</v>
      </c>
      <c r="E6" s="1156">
        <v>79.446999999999989</v>
      </c>
      <c r="F6" s="1156">
        <v>78.598000000000013</v>
      </c>
      <c r="G6" s="1156">
        <v>90.652000000000044</v>
      </c>
      <c r="H6" s="411">
        <v>77.602000000000004</v>
      </c>
      <c r="I6" s="411">
        <v>91.662999999999982</v>
      </c>
      <c r="J6" s="411">
        <v>103.06700000000001</v>
      </c>
      <c r="K6" s="411">
        <v>131.60000000000002</v>
      </c>
      <c r="L6" s="411">
        <v>63.207000000000001</v>
      </c>
      <c r="M6" s="411">
        <v>62.661000000000001</v>
      </c>
      <c r="N6" s="411">
        <v>63.387999999999998</v>
      </c>
      <c r="O6" s="411">
        <v>84.911000000000001</v>
      </c>
      <c r="P6" s="412">
        <v>67.403999999999996</v>
      </c>
      <c r="Q6" s="412">
        <v>69.816000000000003</v>
      </c>
      <c r="R6" s="412">
        <v>78.721999999999994</v>
      </c>
      <c r="S6" s="412">
        <v>96.182000000000002</v>
      </c>
      <c r="T6" s="412">
        <f>72.374+89.672</f>
        <v>162.04599999999999</v>
      </c>
      <c r="U6" s="412">
        <v>198.31199999999995</v>
      </c>
      <c r="V6" s="412">
        <v>193.31700000000001</v>
      </c>
      <c r="W6" s="412">
        <v>224.65800000000002</v>
      </c>
      <c r="X6" s="412">
        <v>138.596</v>
      </c>
      <c r="Y6" s="412">
        <v>199.27</v>
      </c>
      <c r="Z6" s="412">
        <v>187.04900000000001</v>
      </c>
      <c r="AA6" s="412">
        <v>195.649</v>
      </c>
      <c r="AB6" s="411">
        <v>176.26499999999999</v>
      </c>
      <c r="AC6" s="411">
        <v>174.60499999999999</v>
      </c>
      <c r="AD6" s="411">
        <v>186.46799999999999</v>
      </c>
      <c r="AE6" s="411">
        <v>-26.538</v>
      </c>
      <c r="AF6" s="411">
        <v>114</v>
      </c>
      <c r="AG6" s="411">
        <v>136</v>
      </c>
      <c r="AH6" s="411">
        <v>143</v>
      </c>
      <c r="AI6" s="411">
        <v>162</v>
      </c>
      <c r="AJ6" s="412">
        <v>161</v>
      </c>
      <c r="AK6" s="412">
        <v>134</v>
      </c>
      <c r="AL6" s="412">
        <v>158</v>
      </c>
      <c r="AM6" s="412">
        <v>149</v>
      </c>
      <c r="AN6" s="413">
        <v>131</v>
      </c>
      <c r="AO6" s="413">
        <v>133</v>
      </c>
      <c r="AP6" s="413">
        <v>106</v>
      </c>
      <c r="AQ6" s="644">
        <v>137</v>
      </c>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row>
    <row r="7" spans="1:77" s="10" customFormat="1" ht="15.95" customHeight="1">
      <c r="A7" s="410" t="s">
        <v>7</v>
      </c>
      <c r="B7" s="349" t="s">
        <v>166</v>
      </c>
      <c r="C7" s="349"/>
      <c r="D7" s="1156">
        <v>189.72500000000002</v>
      </c>
      <c r="E7" s="1156">
        <v>151.577</v>
      </c>
      <c r="F7" s="1156">
        <v>186.95899999999995</v>
      </c>
      <c r="G7" s="1156">
        <v>390.37900000000013</v>
      </c>
      <c r="H7" s="411">
        <v>72.16</v>
      </c>
      <c r="I7" s="411">
        <v>54.054000000000002</v>
      </c>
      <c r="J7" s="411">
        <v>104.92400000000001</v>
      </c>
      <c r="K7" s="411">
        <v>64.77000000000001</v>
      </c>
      <c r="L7" s="1142">
        <v>14.38</v>
      </c>
      <c r="M7" s="1142">
        <v>10.394</v>
      </c>
      <c r="N7" s="1142">
        <v>17.905999999999999</v>
      </c>
      <c r="O7" s="1142">
        <v>46.481999999999999</v>
      </c>
      <c r="P7" s="1142">
        <v>21.042999999999999</v>
      </c>
      <c r="Q7" s="1142">
        <v>19.318000000000001</v>
      </c>
      <c r="R7" s="1142">
        <v>26.827999999999999</v>
      </c>
      <c r="S7" s="1142">
        <v>25.021999999999998</v>
      </c>
      <c r="T7" s="1142">
        <f>16.565+72.592</f>
        <v>89.156999999999996</v>
      </c>
      <c r="U7" s="1142">
        <v>83.86999999999999</v>
      </c>
      <c r="V7" s="1142">
        <v>77.429999999999993</v>
      </c>
      <c r="W7" s="1142">
        <v>567.30399999999997</v>
      </c>
      <c r="X7" s="1142">
        <v>66.203000000000003</v>
      </c>
      <c r="Y7" s="1142">
        <v>167.27600000000001</v>
      </c>
      <c r="Z7" s="1142">
        <v>152.261</v>
      </c>
      <c r="AA7" s="1142">
        <v>117.11</v>
      </c>
      <c r="AB7" s="1142">
        <v>132.05199999999999</v>
      </c>
      <c r="AC7" s="1142">
        <v>111.779</v>
      </c>
      <c r="AD7" s="1142">
        <v>114.624</v>
      </c>
      <c r="AE7" s="1142">
        <v>69.045000000000002</v>
      </c>
      <c r="AF7" s="1142">
        <v>118</v>
      </c>
      <c r="AG7" s="1142">
        <v>58</v>
      </c>
      <c r="AH7" s="1142">
        <v>279</v>
      </c>
      <c r="AI7" s="1142">
        <v>69</v>
      </c>
      <c r="AJ7" s="412">
        <v>116</v>
      </c>
      <c r="AK7" s="412">
        <v>165</v>
      </c>
      <c r="AL7" s="412">
        <v>95</v>
      </c>
      <c r="AM7" s="412">
        <v>72</v>
      </c>
      <c r="AN7" s="1142">
        <v>115</v>
      </c>
      <c r="AO7" s="1142">
        <v>183</v>
      </c>
      <c r="AP7" s="1142">
        <v>125</v>
      </c>
      <c r="AQ7" s="1143">
        <v>84</v>
      </c>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row>
    <row r="8" spans="1:77" s="26" customFormat="1" ht="15.95" customHeight="1">
      <c r="A8" s="1144" t="s">
        <v>421</v>
      </c>
      <c r="B8" s="1145" t="s">
        <v>434</v>
      </c>
      <c r="C8" s="1145"/>
      <c r="D8" s="1157">
        <v>44.217999999999996</v>
      </c>
      <c r="E8" s="1157">
        <v>18.445000000000007</v>
      </c>
      <c r="F8" s="1157">
        <v>-11.273000000000003</v>
      </c>
      <c r="G8" s="1157">
        <v>10.396999999999998</v>
      </c>
      <c r="H8" s="465">
        <v>21.63</v>
      </c>
      <c r="I8" s="465">
        <v>-0.82899999999999707</v>
      </c>
      <c r="J8" s="465">
        <v>-22.01</v>
      </c>
      <c r="K8" s="465">
        <v>75266.915999999997</v>
      </c>
      <c r="L8" s="465">
        <v>3.831</v>
      </c>
      <c r="M8" s="465">
        <v>3.569</v>
      </c>
      <c r="N8" s="465">
        <v>0.24099999999999999</v>
      </c>
      <c r="O8" s="465">
        <v>-5.798</v>
      </c>
      <c r="P8" s="671">
        <v>1.8080000000000001</v>
      </c>
      <c r="Q8" s="671">
        <v>2.2040000000000002</v>
      </c>
      <c r="R8" s="671">
        <v>6.452</v>
      </c>
      <c r="S8" s="671">
        <v>5.96</v>
      </c>
      <c r="T8" s="671">
        <f>4.255+25.043</f>
        <v>29.297999999999998</v>
      </c>
      <c r="U8" s="671">
        <v>46.632000000000005</v>
      </c>
      <c r="V8" s="671">
        <v>12.961999999999993</v>
      </c>
      <c r="W8" s="671">
        <v>5.6770000000000103</v>
      </c>
      <c r="X8" s="671">
        <v>18.742000000000001</v>
      </c>
      <c r="Y8" s="671">
        <v>67.978999999999999</v>
      </c>
      <c r="Z8" s="671">
        <v>59.851999999999997</v>
      </c>
      <c r="AA8" s="671">
        <v>87.16</v>
      </c>
      <c r="AB8" s="465">
        <v>80.471000000000004</v>
      </c>
      <c r="AC8" s="465">
        <v>-1.903</v>
      </c>
      <c r="AD8" s="465">
        <v>3.2290000000000001</v>
      </c>
      <c r="AE8" s="465">
        <v>49.402999999999999</v>
      </c>
      <c r="AF8" s="465">
        <v>48</v>
      </c>
      <c r="AG8" s="465">
        <v>9</v>
      </c>
      <c r="AH8" s="465">
        <v>52</v>
      </c>
      <c r="AI8" s="465">
        <v>-7</v>
      </c>
      <c r="AJ8" s="671">
        <v>29</v>
      </c>
      <c r="AK8" s="671">
        <v>-2</v>
      </c>
      <c r="AL8" s="671">
        <v>8</v>
      </c>
      <c r="AM8" s="671">
        <v>11</v>
      </c>
      <c r="AN8" s="1146">
        <v>20</v>
      </c>
      <c r="AO8" s="1146">
        <v>5</v>
      </c>
      <c r="AP8" s="1146">
        <v>-25</v>
      </c>
      <c r="AQ8" s="1158">
        <v>22</v>
      </c>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row>
    <row r="9" spans="1:77" s="26" customFormat="1" ht="15.95" customHeight="1">
      <c r="A9" s="1144" t="s">
        <v>422</v>
      </c>
      <c r="B9" s="1145" t="s">
        <v>169</v>
      </c>
      <c r="C9" s="1145"/>
      <c r="D9" s="1157">
        <v>119.82300000000001</v>
      </c>
      <c r="E9" s="1157">
        <v>108.59</v>
      </c>
      <c r="F9" s="1157">
        <v>207.89799999999997</v>
      </c>
      <c r="G9" s="1157">
        <v>363.21999999999997</v>
      </c>
      <c r="H9" s="465">
        <v>48.414000000000001</v>
      </c>
      <c r="I9" s="465">
        <v>43.802999999999997</v>
      </c>
      <c r="J9" s="465">
        <v>106.926</v>
      </c>
      <c r="K9" s="465">
        <v>-8.0519999999999925</v>
      </c>
      <c r="L9" s="465">
        <v>16.876999999999999</v>
      </c>
      <c r="M9" s="465">
        <v>13.499000000000001</v>
      </c>
      <c r="N9" s="465">
        <v>24.108000000000001</v>
      </c>
      <c r="O9" s="465">
        <v>55.991</v>
      </c>
      <c r="P9" s="671">
        <v>25.734999999999999</v>
      </c>
      <c r="Q9" s="671">
        <v>23.265999999999998</v>
      </c>
      <c r="R9" s="671">
        <v>26.946000000000002</v>
      </c>
      <c r="S9" s="671">
        <v>25.574999999999999</v>
      </c>
      <c r="T9" s="671">
        <f>17.988+6.081</f>
        <v>24.068999999999999</v>
      </c>
      <c r="U9" s="671">
        <v>36.265000000000001</v>
      </c>
      <c r="V9" s="671">
        <v>33.306999999999988</v>
      </c>
      <c r="W9" s="671">
        <v>45.248000000000019</v>
      </c>
      <c r="X9" s="671">
        <v>20.949000000000002</v>
      </c>
      <c r="Y9" s="671">
        <v>42.508000000000003</v>
      </c>
      <c r="Z9" s="671">
        <v>35.527000000000001</v>
      </c>
      <c r="AA9" s="671">
        <v>1.39</v>
      </c>
      <c r="AB9" s="465">
        <v>8.3689999999999998</v>
      </c>
      <c r="AC9" s="465">
        <v>59.371000000000002</v>
      </c>
      <c r="AD9" s="465">
        <v>59.722999999999999</v>
      </c>
      <c r="AE9" s="465">
        <v>46.436999999999998</v>
      </c>
      <c r="AF9" s="465">
        <v>54</v>
      </c>
      <c r="AG9" s="465">
        <v>4</v>
      </c>
      <c r="AH9" s="465">
        <v>76</v>
      </c>
      <c r="AI9" s="465">
        <v>41</v>
      </c>
      <c r="AJ9" s="671">
        <v>56</v>
      </c>
      <c r="AK9" s="671">
        <v>46</v>
      </c>
      <c r="AL9" s="671">
        <v>33</v>
      </c>
      <c r="AM9" s="671">
        <v>62</v>
      </c>
      <c r="AN9" s="1146">
        <v>43</v>
      </c>
      <c r="AO9" s="1146">
        <v>70</v>
      </c>
      <c r="AP9" s="1146">
        <v>38</v>
      </c>
      <c r="AQ9" s="1158">
        <v>61</v>
      </c>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row>
    <row r="10" spans="1:77" s="26" customFormat="1" ht="40.5">
      <c r="A10" s="1144" t="s">
        <v>423</v>
      </c>
      <c r="B10" s="1145" t="s">
        <v>170</v>
      </c>
      <c r="C10" s="1145"/>
      <c r="D10" s="1157"/>
      <c r="E10" s="1157">
        <v>0</v>
      </c>
      <c r="F10" s="1157">
        <v>0</v>
      </c>
      <c r="G10" s="1157">
        <v>0</v>
      </c>
      <c r="H10" s="465"/>
      <c r="I10" s="465">
        <v>0</v>
      </c>
      <c r="J10" s="465">
        <v>0</v>
      </c>
      <c r="K10" s="465">
        <v>0</v>
      </c>
      <c r="L10" s="667">
        <v>0</v>
      </c>
      <c r="M10" s="667">
        <v>0</v>
      </c>
      <c r="N10" s="667">
        <v>0</v>
      </c>
      <c r="O10" s="667">
        <v>0</v>
      </c>
      <c r="P10" s="693">
        <v>0</v>
      </c>
      <c r="Q10" s="693">
        <v>0</v>
      </c>
      <c r="R10" s="693">
        <v>0</v>
      </c>
      <c r="S10" s="693">
        <v>0</v>
      </c>
      <c r="T10" s="693">
        <v>0</v>
      </c>
      <c r="U10" s="693">
        <v>0</v>
      </c>
      <c r="V10" s="693">
        <v>0</v>
      </c>
      <c r="W10" s="693">
        <v>0</v>
      </c>
      <c r="X10" s="693">
        <v>0</v>
      </c>
      <c r="Y10" s="693">
        <v>0</v>
      </c>
      <c r="Z10" s="693">
        <v>0</v>
      </c>
      <c r="AA10" s="693">
        <v>0</v>
      </c>
      <c r="AB10" s="667">
        <v>0</v>
      </c>
      <c r="AC10" s="667">
        <v>0</v>
      </c>
      <c r="AD10" s="667">
        <v>0</v>
      </c>
      <c r="AE10" s="667">
        <v>0</v>
      </c>
      <c r="AF10" s="667">
        <v>0</v>
      </c>
      <c r="AG10" s="667">
        <v>0</v>
      </c>
      <c r="AH10" s="667">
        <v>0</v>
      </c>
      <c r="AI10" s="667">
        <v>0</v>
      </c>
      <c r="AJ10" s="671">
        <v>0</v>
      </c>
      <c r="AK10" s="671">
        <v>0</v>
      </c>
      <c r="AL10" s="671">
        <v>0</v>
      </c>
      <c r="AM10" s="671">
        <v>0</v>
      </c>
      <c r="AN10" s="1146">
        <v>29</v>
      </c>
      <c r="AO10" s="1146">
        <v>56</v>
      </c>
      <c r="AP10" s="1146">
        <v>35</v>
      </c>
      <c r="AQ10" s="1158">
        <v>9</v>
      </c>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row>
    <row r="11" spans="1:77" s="26" customFormat="1">
      <c r="A11" s="1144" t="s">
        <v>424</v>
      </c>
      <c r="B11" s="1145" t="s">
        <v>169</v>
      </c>
      <c r="C11" s="1145"/>
      <c r="D11" s="1157"/>
      <c r="E11" s="1157">
        <v>0</v>
      </c>
      <c r="F11" s="1157">
        <v>0</v>
      </c>
      <c r="G11" s="1157">
        <v>0</v>
      </c>
      <c r="H11" s="465"/>
      <c r="I11" s="465">
        <v>0</v>
      </c>
      <c r="J11" s="465">
        <v>0</v>
      </c>
      <c r="K11" s="465">
        <v>0</v>
      </c>
      <c r="L11" s="465">
        <v>0</v>
      </c>
      <c r="M11" s="465">
        <v>0</v>
      </c>
      <c r="N11" s="465">
        <v>0</v>
      </c>
      <c r="O11" s="465">
        <v>0</v>
      </c>
      <c r="P11" s="671">
        <v>0</v>
      </c>
      <c r="Q11" s="671">
        <v>0</v>
      </c>
      <c r="R11" s="671">
        <v>0</v>
      </c>
      <c r="S11" s="671">
        <v>0</v>
      </c>
      <c r="T11" s="671">
        <v>0</v>
      </c>
      <c r="U11" s="671">
        <v>0</v>
      </c>
      <c r="V11" s="671">
        <v>0</v>
      </c>
      <c r="W11" s="671">
        <v>0</v>
      </c>
      <c r="X11" s="671">
        <v>0</v>
      </c>
      <c r="Y11" s="671">
        <v>0</v>
      </c>
      <c r="Z11" s="671">
        <v>0</v>
      </c>
      <c r="AA11" s="671">
        <v>0</v>
      </c>
      <c r="AB11" s="465">
        <v>0</v>
      </c>
      <c r="AC11" s="465">
        <v>0</v>
      </c>
      <c r="AD11" s="465">
        <v>0</v>
      </c>
      <c r="AE11" s="465">
        <v>0</v>
      </c>
      <c r="AF11" s="465">
        <v>0</v>
      </c>
      <c r="AG11" s="465">
        <v>0</v>
      </c>
      <c r="AH11" s="465">
        <v>0</v>
      </c>
      <c r="AI11" s="465">
        <v>0</v>
      </c>
      <c r="AJ11" s="671">
        <v>0</v>
      </c>
      <c r="AK11" s="671">
        <v>0</v>
      </c>
      <c r="AL11" s="671">
        <v>0</v>
      </c>
      <c r="AM11" s="671">
        <v>0</v>
      </c>
      <c r="AN11" s="1146">
        <v>1</v>
      </c>
      <c r="AO11" s="1146">
        <v>-1</v>
      </c>
      <c r="AP11" s="1146">
        <v>0</v>
      </c>
      <c r="AQ11" s="1158">
        <v>0</v>
      </c>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row>
    <row r="12" spans="1:77" s="28" customFormat="1">
      <c r="A12" s="1144" t="s">
        <v>425</v>
      </c>
      <c r="B12" s="1145" t="s">
        <v>147</v>
      </c>
      <c r="C12" s="1145"/>
      <c r="D12" s="1157">
        <v>5.2999999999999999E-2</v>
      </c>
      <c r="E12" s="1157">
        <v>4.9820000000000002</v>
      </c>
      <c r="F12" s="1157">
        <v>4.8000000000000043E-2</v>
      </c>
      <c r="G12" s="1157">
        <v>0.29800000000000004</v>
      </c>
      <c r="H12" s="509">
        <v>9.7000000000000003E-2</v>
      </c>
      <c r="I12" s="509">
        <v>5.4149999999999991</v>
      </c>
      <c r="J12" s="509">
        <v>1.2880000000000003</v>
      </c>
      <c r="K12" s="509">
        <v>-1.1369999999999996</v>
      </c>
      <c r="L12" s="509">
        <v>0</v>
      </c>
      <c r="M12" s="509">
        <v>0</v>
      </c>
      <c r="N12" s="509">
        <v>0</v>
      </c>
      <c r="O12" s="509">
        <v>0</v>
      </c>
      <c r="P12" s="464">
        <v>0</v>
      </c>
      <c r="Q12" s="464">
        <v>0</v>
      </c>
      <c r="R12" s="464">
        <v>0</v>
      </c>
      <c r="S12" s="464">
        <v>0</v>
      </c>
      <c r="T12" s="464">
        <v>0</v>
      </c>
      <c r="U12" s="464">
        <v>5.2949999999999999</v>
      </c>
      <c r="V12" s="464">
        <v>0.47100000000000009</v>
      </c>
      <c r="W12" s="464">
        <v>0</v>
      </c>
      <c r="X12" s="464">
        <v>0</v>
      </c>
      <c r="Y12" s="464">
        <v>6.0910000000000002</v>
      </c>
      <c r="Z12" s="464">
        <v>0.315</v>
      </c>
      <c r="AA12" s="464">
        <v>0.105</v>
      </c>
      <c r="AB12" s="509">
        <v>0</v>
      </c>
      <c r="AC12" s="509">
        <v>9.6760000000000002</v>
      </c>
      <c r="AD12" s="509">
        <v>0.98199999999999998</v>
      </c>
      <c r="AE12" s="509">
        <v>4.2000000000000003E-2</v>
      </c>
      <c r="AF12" s="509"/>
      <c r="AG12" s="509"/>
      <c r="AH12" s="509">
        <v>1</v>
      </c>
      <c r="AI12" s="509">
        <v>0</v>
      </c>
      <c r="AJ12" s="509"/>
      <c r="AK12" s="509"/>
      <c r="AL12" s="509">
        <v>1</v>
      </c>
      <c r="AM12" s="509">
        <v>0</v>
      </c>
      <c r="AN12" s="1148"/>
      <c r="AO12" s="1148">
        <v>11</v>
      </c>
      <c r="AP12" s="1148">
        <v>1</v>
      </c>
      <c r="AQ12" s="1159">
        <v>0</v>
      </c>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row>
    <row r="13" spans="1:77" s="28" customFormat="1" ht="24.75" customHeight="1">
      <c r="A13" s="1144" t="s">
        <v>426</v>
      </c>
      <c r="B13" s="1145" t="s">
        <v>173</v>
      </c>
      <c r="C13" s="1145"/>
      <c r="D13" s="1157">
        <v>4.1539999999999999</v>
      </c>
      <c r="E13" s="1157">
        <v>54.019000000000005</v>
      </c>
      <c r="F13" s="1157">
        <v>-3.5290000000000035</v>
      </c>
      <c r="G13" s="1157">
        <v>23.297000000000004</v>
      </c>
      <c r="H13" s="509">
        <v>8.5190000000000001</v>
      </c>
      <c r="I13" s="509">
        <v>12.17</v>
      </c>
      <c r="J13" s="509">
        <v>25.238999999999997</v>
      </c>
      <c r="K13" s="509">
        <v>4.277000000000001</v>
      </c>
      <c r="L13" s="1150">
        <v>0.17699999999999999</v>
      </c>
      <c r="M13" s="1150">
        <v>-0.16400000000000001</v>
      </c>
      <c r="N13" s="1150">
        <v>6.6000000000000003E-2</v>
      </c>
      <c r="O13" s="1150">
        <v>2.7989999999999999</v>
      </c>
      <c r="P13" s="1151">
        <v>0.01</v>
      </c>
      <c r="Q13" s="1151">
        <v>0.35699999999999998</v>
      </c>
      <c r="R13" s="1151">
        <v>-0.06</v>
      </c>
      <c r="S13" s="1151">
        <v>-4.0000000000000001E-3</v>
      </c>
      <c r="T13" s="1151">
        <f>0.832+41.468</f>
        <v>42.300000000000004</v>
      </c>
      <c r="U13" s="1151">
        <v>2.1869999999999976</v>
      </c>
      <c r="V13" s="1151">
        <v>37.199999999999996</v>
      </c>
      <c r="W13" s="1151">
        <v>522.88800000000003</v>
      </c>
      <c r="X13" s="1151">
        <v>33.021999999999998</v>
      </c>
      <c r="Y13" s="1151">
        <v>57.207000000000001</v>
      </c>
      <c r="Z13" s="1151">
        <v>63.091000000000001</v>
      </c>
      <c r="AA13" s="1151">
        <v>34.975999999999999</v>
      </c>
      <c r="AB13" s="1150">
        <v>49.747999999999998</v>
      </c>
      <c r="AC13" s="1150">
        <v>51.161999999999999</v>
      </c>
      <c r="AD13" s="1150">
        <v>57.216999999999999</v>
      </c>
      <c r="AE13" s="1150">
        <v>-20.327000000000002</v>
      </c>
      <c r="AF13" s="1150">
        <v>23</v>
      </c>
      <c r="AG13" s="1150">
        <v>42</v>
      </c>
      <c r="AH13" s="1150">
        <v>156</v>
      </c>
      <c r="AI13" s="1150">
        <v>42</v>
      </c>
      <c r="AJ13" s="509">
        <v>38</v>
      </c>
      <c r="AK13" s="509">
        <v>116</v>
      </c>
      <c r="AL13" s="509">
        <v>60</v>
      </c>
      <c r="AM13" s="509">
        <v>5</v>
      </c>
      <c r="AN13" s="1148">
        <v>29</v>
      </c>
      <c r="AO13" s="1148">
        <v>48</v>
      </c>
      <c r="AP13" s="1148">
        <v>34</v>
      </c>
      <c r="AQ13" s="1159">
        <v>48</v>
      </c>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row>
    <row r="14" spans="1:77" s="26" customFormat="1" ht="27">
      <c r="A14" s="1144" t="s">
        <v>875</v>
      </c>
      <c r="B14" s="1145" t="s">
        <v>433</v>
      </c>
      <c r="C14" s="1145"/>
      <c r="D14" s="1157">
        <v>-6.5</v>
      </c>
      <c r="E14" s="1157">
        <v>-6.5</v>
      </c>
      <c r="F14" s="1157">
        <v>-6.5</v>
      </c>
      <c r="G14" s="1157">
        <v>-6.5</v>
      </c>
      <c r="H14" s="465">
        <v>-6.5</v>
      </c>
      <c r="I14" s="465">
        <v>-6.5050000000000008</v>
      </c>
      <c r="J14" s="465">
        <v>-6.5190000000000001</v>
      </c>
      <c r="K14" s="465">
        <v>-6.5</v>
      </c>
      <c r="L14" s="465">
        <v>-6.5049999999999999</v>
      </c>
      <c r="M14" s="465">
        <v>-6.51</v>
      </c>
      <c r="N14" s="465">
        <v>-6.5090000000000003</v>
      </c>
      <c r="O14" s="465">
        <v>-6.51</v>
      </c>
      <c r="P14" s="671">
        <v>-6.51</v>
      </c>
      <c r="Q14" s="671">
        <v>-6.5090000000000003</v>
      </c>
      <c r="R14" s="671">
        <v>-6.51</v>
      </c>
      <c r="S14" s="671">
        <v>-6.5090000000000003</v>
      </c>
      <c r="T14" s="671">
        <v>-6.51</v>
      </c>
      <c r="U14" s="671">
        <v>-6.5090000000000003</v>
      </c>
      <c r="V14" s="671">
        <v>-6.51</v>
      </c>
      <c r="W14" s="671">
        <v>-6.5089999999999986</v>
      </c>
      <c r="X14" s="671">
        <v>-6.51</v>
      </c>
      <c r="Y14" s="671">
        <v>-6.5090000000000003</v>
      </c>
      <c r="Z14" s="671">
        <v>-6.524</v>
      </c>
      <c r="AA14" s="671">
        <v>-6.5209999999999999</v>
      </c>
      <c r="AB14" s="465">
        <v>-6.5359999999999996</v>
      </c>
      <c r="AC14" s="465">
        <v>-6.5270000000000001</v>
      </c>
      <c r="AD14" s="465">
        <v>-6.5270000000000001</v>
      </c>
      <c r="AE14" s="465">
        <v>-6.51</v>
      </c>
      <c r="AF14" s="465">
        <v>-7</v>
      </c>
      <c r="AG14" s="465">
        <v>-6</v>
      </c>
      <c r="AH14" s="465">
        <v>-6</v>
      </c>
      <c r="AI14" s="465">
        <v>-7</v>
      </c>
      <c r="AJ14" s="465">
        <v>-7</v>
      </c>
      <c r="AK14" s="465">
        <v>-6</v>
      </c>
      <c r="AL14" s="465">
        <v>-7</v>
      </c>
      <c r="AM14" s="465">
        <v>-6</v>
      </c>
      <c r="AN14" s="465">
        <v>-7</v>
      </c>
      <c r="AO14" s="465">
        <v>-6</v>
      </c>
      <c r="AP14" s="465">
        <v>-7</v>
      </c>
      <c r="AQ14" s="466">
        <v>-7</v>
      </c>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row>
    <row r="15" spans="1:77" ht="15.95" customHeight="1">
      <c r="A15" s="410" t="s">
        <v>415</v>
      </c>
      <c r="B15" s="349" t="s">
        <v>436</v>
      </c>
      <c r="C15" s="349"/>
      <c r="D15" s="1156">
        <v>-111.61800000000001</v>
      </c>
      <c r="E15" s="1156">
        <v>-30.773999999999987</v>
      </c>
      <c r="F15" s="1156">
        <v>-95.850999999999999</v>
      </c>
      <c r="G15" s="1156">
        <v>-161.46600000000001</v>
      </c>
      <c r="H15" s="411">
        <v>-38.78</v>
      </c>
      <c r="I15" s="411">
        <v>-70.644999999999996</v>
      </c>
      <c r="J15" s="411">
        <v>-171.17199999999997</v>
      </c>
      <c r="K15" s="411">
        <v>-113.82000000000005</v>
      </c>
      <c r="L15" s="411">
        <v>-32.387999999999998</v>
      </c>
      <c r="M15" s="411">
        <v>-52.079000000000001</v>
      </c>
      <c r="N15" s="411">
        <v>-160.97999999999999</v>
      </c>
      <c r="O15" s="411">
        <v>-38.119999999999997</v>
      </c>
      <c r="P15" s="412">
        <v>-69.015000000000001</v>
      </c>
      <c r="Q15" s="412">
        <v>-127.767</v>
      </c>
      <c r="R15" s="412">
        <v>-274.23599999999999</v>
      </c>
      <c r="S15" s="412">
        <v>-186.61699999999999</v>
      </c>
      <c r="T15" s="412">
        <f>-146.199-21.408</f>
        <v>-167.60700000000003</v>
      </c>
      <c r="U15" s="412">
        <v>-181.74599999999998</v>
      </c>
      <c r="V15" s="412">
        <v>-164.55400000000003</v>
      </c>
      <c r="W15" s="412">
        <v>-343.83399999999989</v>
      </c>
      <c r="X15" s="412">
        <v>-77.222999999999999</v>
      </c>
      <c r="Y15" s="412">
        <v>-284.58100000000002</v>
      </c>
      <c r="Z15" s="412">
        <v>-166.30699999999999</v>
      </c>
      <c r="AA15" s="412">
        <v>-184.76400000000001</v>
      </c>
      <c r="AB15" s="411">
        <v>-68.179000000000002</v>
      </c>
      <c r="AC15" s="411">
        <v>-65.114999999999995</v>
      </c>
      <c r="AD15" s="411">
        <v>-111.608</v>
      </c>
      <c r="AE15" s="411">
        <v>-120.298</v>
      </c>
      <c r="AF15" s="411">
        <v>-125</v>
      </c>
      <c r="AG15" s="411">
        <v>-164</v>
      </c>
      <c r="AH15" s="411">
        <v>-145</v>
      </c>
      <c r="AI15" s="411">
        <v>-101</v>
      </c>
      <c r="AJ15" s="411">
        <v>-74</v>
      </c>
      <c r="AK15" s="411">
        <v>-106</v>
      </c>
      <c r="AL15" s="411">
        <v>-101</v>
      </c>
      <c r="AM15" s="411">
        <v>-254</v>
      </c>
      <c r="AN15" s="411">
        <v>-22</v>
      </c>
      <c r="AO15" s="411">
        <v>-125</v>
      </c>
      <c r="AP15" s="411">
        <v>-111</v>
      </c>
      <c r="AQ15" s="414">
        <v>-65</v>
      </c>
    </row>
    <row r="16" spans="1:77" s="10" customFormat="1" ht="15.95" customHeight="1">
      <c r="A16" s="410" t="s">
        <v>416</v>
      </c>
      <c r="B16" s="349" t="s">
        <v>435</v>
      </c>
      <c r="C16" s="349"/>
      <c r="D16" s="1156"/>
      <c r="E16" s="1156">
        <v>0</v>
      </c>
      <c r="F16" s="1156">
        <v>0</v>
      </c>
      <c r="G16" s="1156">
        <v>0</v>
      </c>
      <c r="H16" s="411"/>
      <c r="I16" s="411">
        <v>0</v>
      </c>
      <c r="J16" s="411">
        <v>0</v>
      </c>
      <c r="K16" s="411">
        <v>0</v>
      </c>
      <c r="L16" s="413">
        <v>0</v>
      </c>
      <c r="M16" s="413">
        <v>0</v>
      </c>
      <c r="N16" s="413">
        <v>0</v>
      </c>
      <c r="O16" s="413">
        <v>0</v>
      </c>
      <c r="P16" s="413">
        <v>0</v>
      </c>
      <c r="Q16" s="413">
        <v>0</v>
      </c>
      <c r="R16" s="413">
        <v>0</v>
      </c>
      <c r="S16" s="413">
        <v>0</v>
      </c>
      <c r="T16" s="413">
        <v>0</v>
      </c>
      <c r="U16" s="413">
        <v>0</v>
      </c>
      <c r="V16" s="413">
        <v>0</v>
      </c>
      <c r="W16" s="413">
        <v>0</v>
      </c>
      <c r="X16" s="413">
        <v>0</v>
      </c>
      <c r="Y16" s="413">
        <v>0</v>
      </c>
      <c r="Z16" s="413">
        <v>0</v>
      </c>
      <c r="AA16" s="413">
        <v>0</v>
      </c>
      <c r="AB16" s="413">
        <v>0</v>
      </c>
      <c r="AC16" s="413">
        <v>0</v>
      </c>
      <c r="AD16" s="413">
        <v>0</v>
      </c>
      <c r="AE16" s="413">
        <v>0</v>
      </c>
      <c r="AF16" s="413">
        <v>0</v>
      </c>
      <c r="AG16" s="413">
        <v>0</v>
      </c>
      <c r="AH16" s="413">
        <v>0</v>
      </c>
      <c r="AI16" s="413">
        <v>0</v>
      </c>
      <c r="AJ16" s="413">
        <v>0</v>
      </c>
      <c r="AK16" s="413">
        <v>0</v>
      </c>
      <c r="AL16" s="413">
        <v>-35</v>
      </c>
      <c r="AM16" s="413">
        <v>35</v>
      </c>
      <c r="AN16" s="413">
        <v>0</v>
      </c>
      <c r="AO16" s="413">
        <v>0</v>
      </c>
      <c r="AP16" s="413">
        <v>3</v>
      </c>
      <c r="AQ16" s="644">
        <v>-58</v>
      </c>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row>
    <row r="17" spans="1:77" s="10" customFormat="1" ht="15.95" customHeight="1">
      <c r="A17" s="410" t="s">
        <v>417</v>
      </c>
      <c r="B17" s="349" t="s">
        <v>429</v>
      </c>
      <c r="C17" s="349"/>
      <c r="D17" s="1156">
        <v>-99.365000000000009</v>
      </c>
      <c r="E17" s="1156">
        <v>-90.214999999999975</v>
      </c>
      <c r="F17" s="1156">
        <v>-95.507000000000005</v>
      </c>
      <c r="G17" s="1156">
        <v>-93.032000000000039</v>
      </c>
      <c r="H17" s="411">
        <v>-97.765999999999991</v>
      </c>
      <c r="I17" s="411">
        <v>-96.361000000000018</v>
      </c>
      <c r="J17" s="411">
        <v>-138.96999999999997</v>
      </c>
      <c r="K17" s="411">
        <v>-79.948999999999955</v>
      </c>
      <c r="L17" s="1153">
        <v>-53.591000000000001</v>
      </c>
      <c r="M17" s="1153">
        <v>-56.963999999999999</v>
      </c>
      <c r="N17" s="1153">
        <v>-59.316000000000003</v>
      </c>
      <c r="O17" s="1153">
        <v>-63.720999999999997</v>
      </c>
      <c r="P17" s="1142">
        <v>-61.874000000000002</v>
      </c>
      <c r="Q17" s="1142">
        <v>-62.119</v>
      </c>
      <c r="R17" s="1142">
        <v>-64.16</v>
      </c>
      <c r="S17" s="1142">
        <v>-76.268000000000001</v>
      </c>
      <c r="T17" s="1142">
        <f>-68.244-148.685</f>
        <v>-216.929</v>
      </c>
      <c r="U17" s="1142">
        <v>-219.93199999999999</v>
      </c>
      <c r="V17" s="1142">
        <v>-222.20900000000003</v>
      </c>
      <c r="W17" s="1142">
        <v>-268.82599999999991</v>
      </c>
      <c r="X17" s="1142">
        <v>-220.45699999999999</v>
      </c>
      <c r="Y17" s="1142">
        <v>-278.02999999999997</v>
      </c>
      <c r="Z17" s="1142">
        <v>-261.46100000000001</v>
      </c>
      <c r="AA17" s="1142">
        <v>-348.04500000000002</v>
      </c>
      <c r="AB17" s="1153">
        <v>-279.24700000000001</v>
      </c>
      <c r="AC17" s="1153">
        <v>-273.66399999999999</v>
      </c>
      <c r="AD17" s="1153">
        <v>-266.66500000000002</v>
      </c>
      <c r="AE17" s="1153">
        <v>-69.724000000000004</v>
      </c>
      <c r="AF17" s="1153">
        <v>-223</v>
      </c>
      <c r="AG17" s="1153">
        <v>-220</v>
      </c>
      <c r="AH17" s="1153">
        <v>-227</v>
      </c>
      <c r="AI17" s="1153">
        <v>-235</v>
      </c>
      <c r="AJ17" s="412">
        <v>-291</v>
      </c>
      <c r="AK17" s="412">
        <v>-193</v>
      </c>
      <c r="AL17" s="412">
        <v>-211</v>
      </c>
      <c r="AM17" s="412">
        <v>-186</v>
      </c>
      <c r="AN17" s="411">
        <v>-296</v>
      </c>
      <c r="AO17" s="411">
        <v>-203</v>
      </c>
      <c r="AP17" s="411">
        <v>-222</v>
      </c>
      <c r="AQ17" s="414">
        <v>-219</v>
      </c>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row>
    <row r="18" spans="1:77" s="27" customFormat="1" ht="15.95" customHeight="1">
      <c r="A18" s="1144" t="s">
        <v>427</v>
      </c>
      <c r="B18" s="1145" t="s">
        <v>430</v>
      </c>
      <c r="C18" s="1145"/>
      <c r="D18" s="1157">
        <v>-9.3000000000000007</v>
      </c>
      <c r="E18" s="1157">
        <v>-15.027999999999999</v>
      </c>
      <c r="F18" s="1157">
        <v>-12.431000000000001</v>
      </c>
      <c r="G18" s="1157">
        <v>36.759</v>
      </c>
      <c r="H18" s="465">
        <v>-12.603999999999999</v>
      </c>
      <c r="I18" s="465">
        <v>-12.411000000000001</v>
      </c>
      <c r="J18" s="465">
        <v>-15.765999999999998</v>
      </c>
      <c r="K18" s="465">
        <v>-11.700000000000003</v>
      </c>
      <c r="L18" s="465">
        <v>-5.3780000000000001</v>
      </c>
      <c r="M18" s="465">
        <v>-5.6769999999999996</v>
      </c>
      <c r="N18" s="465">
        <v>-5.9930000000000003</v>
      </c>
      <c r="O18" s="465">
        <v>-6.1689999999999996</v>
      </c>
      <c r="P18" s="671">
        <v>-6.2489999999999997</v>
      </c>
      <c r="Q18" s="671">
        <v>-6.5629999999999997</v>
      </c>
      <c r="R18" s="671">
        <v>-6.7850000000000001</v>
      </c>
      <c r="S18" s="671">
        <v>-6.5510000000000002</v>
      </c>
      <c r="T18" s="671">
        <f>-7.262-16.83</f>
        <v>-24.091999999999999</v>
      </c>
      <c r="U18" s="671">
        <v>-25.271000000000001</v>
      </c>
      <c r="V18" s="671">
        <v>-27.881</v>
      </c>
      <c r="W18" s="671">
        <v>-14.591999999999999</v>
      </c>
      <c r="X18" s="671">
        <v>-27.329000000000001</v>
      </c>
      <c r="Y18" s="671">
        <v>-41.186999999999998</v>
      </c>
      <c r="Z18" s="671">
        <v>-37.302</v>
      </c>
      <c r="AA18" s="671">
        <v>-32.005000000000003</v>
      </c>
      <c r="AB18" s="465">
        <v>-32.027999999999999</v>
      </c>
      <c r="AC18" s="465">
        <v>-31.565999999999999</v>
      </c>
      <c r="AD18" s="465">
        <v>-33.295000000000002</v>
      </c>
      <c r="AE18" s="465">
        <v>6.6890000000000001</v>
      </c>
      <c r="AF18" s="465">
        <v>-27</v>
      </c>
      <c r="AG18" s="465">
        <v>-25</v>
      </c>
      <c r="AH18" s="465">
        <v>-24</v>
      </c>
      <c r="AI18" s="465">
        <v>-19</v>
      </c>
      <c r="AJ18" s="671">
        <v>-29</v>
      </c>
      <c r="AK18" s="671">
        <v>-29</v>
      </c>
      <c r="AL18" s="671">
        <v>-21</v>
      </c>
      <c r="AM18" s="671">
        <v>-38</v>
      </c>
      <c r="AN18" s="1146">
        <v>-28</v>
      </c>
      <c r="AO18" s="1146">
        <v>-28</v>
      </c>
      <c r="AP18" s="1146">
        <v>-30</v>
      </c>
      <c r="AQ18" s="1158">
        <v>-32</v>
      </c>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row>
    <row r="19" spans="1:77" s="10" customFormat="1" ht="15.95" customHeight="1">
      <c r="A19" s="410" t="s">
        <v>122</v>
      </c>
      <c r="B19" s="349" t="s">
        <v>174</v>
      </c>
      <c r="C19" s="349"/>
      <c r="D19" s="1156"/>
      <c r="E19" s="1156">
        <v>0</v>
      </c>
      <c r="F19" s="1156">
        <v>0</v>
      </c>
      <c r="G19" s="1156">
        <v>0</v>
      </c>
      <c r="H19" s="411"/>
      <c r="I19" s="411">
        <v>0</v>
      </c>
      <c r="J19" s="411">
        <v>0</v>
      </c>
      <c r="K19" s="411">
        <v>0</v>
      </c>
      <c r="L19" s="411">
        <v>0</v>
      </c>
      <c r="M19" s="411">
        <v>0</v>
      </c>
      <c r="N19" s="411">
        <v>0</v>
      </c>
      <c r="O19" s="411">
        <v>0</v>
      </c>
      <c r="P19" s="412">
        <v>0</v>
      </c>
      <c r="Q19" s="412">
        <v>0</v>
      </c>
      <c r="R19" s="412">
        <v>0</v>
      </c>
      <c r="S19" s="412">
        <v>0</v>
      </c>
      <c r="T19" s="412">
        <v>0</v>
      </c>
      <c r="U19" s="412">
        <v>0</v>
      </c>
      <c r="V19" s="412">
        <v>0</v>
      </c>
      <c r="W19" s="412">
        <v>0</v>
      </c>
      <c r="X19" s="412">
        <v>0</v>
      </c>
      <c r="Y19" s="412">
        <v>0</v>
      </c>
      <c r="Z19" s="412">
        <v>0</v>
      </c>
      <c r="AA19" s="412">
        <v>0</v>
      </c>
      <c r="AB19" s="411">
        <v>0</v>
      </c>
      <c r="AC19" s="411">
        <v>0</v>
      </c>
      <c r="AD19" s="411">
        <v>0</v>
      </c>
      <c r="AE19" s="411">
        <v>0</v>
      </c>
      <c r="AF19" s="411">
        <v>-41</v>
      </c>
      <c r="AG19" s="411">
        <v>-61</v>
      </c>
      <c r="AH19" s="411">
        <v>-62</v>
      </c>
      <c r="AI19" s="411">
        <v>-64</v>
      </c>
      <c r="AJ19" s="412">
        <v>-66</v>
      </c>
      <c r="AK19" s="412">
        <v>-61</v>
      </c>
      <c r="AL19" s="412">
        <v>-60</v>
      </c>
      <c r="AM19" s="412">
        <v>-64</v>
      </c>
      <c r="AN19" s="413">
        <v>-63</v>
      </c>
      <c r="AO19" s="413">
        <v>-63</v>
      </c>
      <c r="AP19" s="413">
        <v>-78</v>
      </c>
      <c r="AQ19" s="644">
        <v>-94</v>
      </c>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row>
    <row r="20" spans="1:77" s="24" customFormat="1" ht="27">
      <c r="A20" s="645" t="s">
        <v>419</v>
      </c>
      <c r="B20" s="646" t="s">
        <v>432</v>
      </c>
      <c r="C20" s="646"/>
      <c r="D20" s="1156"/>
      <c r="E20" s="1156">
        <v>0</v>
      </c>
      <c r="F20" s="1156">
        <v>0</v>
      </c>
      <c r="G20" s="1156">
        <v>0</v>
      </c>
      <c r="H20" s="436"/>
      <c r="I20" s="436">
        <v>0</v>
      </c>
      <c r="J20" s="436">
        <v>0</v>
      </c>
      <c r="K20" s="436">
        <v>0</v>
      </c>
      <c r="L20" s="436">
        <v>0</v>
      </c>
      <c r="M20" s="436">
        <v>0</v>
      </c>
      <c r="N20" s="436">
        <v>0</v>
      </c>
      <c r="O20" s="436">
        <v>0</v>
      </c>
      <c r="P20" s="432">
        <v>0</v>
      </c>
      <c r="Q20" s="432">
        <v>0</v>
      </c>
      <c r="R20" s="432">
        <v>0</v>
      </c>
      <c r="S20" s="432">
        <v>0</v>
      </c>
      <c r="T20" s="432">
        <v>0</v>
      </c>
      <c r="U20" s="432">
        <v>0</v>
      </c>
      <c r="V20" s="432">
        <v>0</v>
      </c>
      <c r="W20" s="432">
        <v>0</v>
      </c>
      <c r="X20" s="432">
        <v>0</v>
      </c>
      <c r="Y20" s="432">
        <v>0</v>
      </c>
      <c r="Z20" s="432">
        <v>0</v>
      </c>
      <c r="AA20" s="432">
        <v>0</v>
      </c>
      <c r="AB20" s="436">
        <v>0</v>
      </c>
      <c r="AC20" s="436">
        <v>0</v>
      </c>
      <c r="AD20" s="436"/>
      <c r="AE20" s="436"/>
      <c r="AF20" s="436"/>
      <c r="AG20" s="436"/>
      <c r="AH20" s="436"/>
      <c r="AI20" s="436"/>
      <c r="AJ20" s="432"/>
      <c r="AK20" s="432"/>
      <c r="AL20" s="432"/>
      <c r="AM20" s="432"/>
      <c r="AN20" s="413"/>
      <c r="AO20" s="413"/>
      <c r="AP20" s="413">
        <v>0</v>
      </c>
      <c r="AQ20" s="644">
        <v>0</v>
      </c>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row>
    <row r="21" spans="1:77" s="12" customFormat="1" ht="15.95" customHeight="1">
      <c r="A21" s="469" t="s">
        <v>420</v>
      </c>
      <c r="B21" s="470" t="s">
        <v>431</v>
      </c>
      <c r="C21" s="470"/>
      <c r="D21" s="511">
        <v>-26.049000000000003</v>
      </c>
      <c r="E21" s="511">
        <v>-57.814999999999998</v>
      </c>
      <c r="F21" s="511">
        <v>-4.6749999999999829</v>
      </c>
      <c r="G21" s="511">
        <v>486.14600000000002</v>
      </c>
      <c r="H21" s="471">
        <v>238.80600000000001</v>
      </c>
      <c r="I21" s="471">
        <v>209.29300000000003</v>
      </c>
      <c r="J21" s="471">
        <v>115.9609999999999</v>
      </c>
      <c r="K21" s="471">
        <v>246.27500000000009</v>
      </c>
      <c r="L21" s="471">
        <v>103.145</v>
      </c>
      <c r="M21" s="471">
        <v>141.464</v>
      </c>
      <c r="N21" s="471">
        <v>38.896999999999998</v>
      </c>
      <c r="O21" s="471">
        <v>157.36799999999999</v>
      </c>
      <c r="P21" s="511">
        <v>99.125</v>
      </c>
      <c r="Q21" s="511">
        <v>50.898000000000003</v>
      </c>
      <c r="R21" s="511">
        <v>-79.042000000000002</v>
      </c>
      <c r="S21" s="511">
        <v>-23.992000000000001</v>
      </c>
      <c r="T21" s="511">
        <f>18.844+51.11</f>
        <v>69.954000000000008</v>
      </c>
      <c r="U21" s="511">
        <v>96.375</v>
      </c>
      <c r="V21" s="511">
        <v>114.97499999999997</v>
      </c>
      <c r="W21" s="511">
        <v>414.49200000000013</v>
      </c>
      <c r="X21" s="471">
        <v>132.53200000000001</v>
      </c>
      <c r="Y21" s="471">
        <v>88.83</v>
      </c>
      <c r="Z21" s="471">
        <v>208.934</v>
      </c>
      <c r="AA21" s="471">
        <v>95.201999999999998</v>
      </c>
      <c r="AB21" s="471">
        <v>233.46600000000001</v>
      </c>
      <c r="AC21" s="471">
        <v>234.607</v>
      </c>
      <c r="AD21" s="471">
        <v>221.87200000000001</v>
      </c>
      <c r="AE21" s="471">
        <v>7.4550000000000001</v>
      </c>
      <c r="AF21" s="471">
        <v>147</v>
      </c>
      <c r="AG21" s="471">
        <v>30</v>
      </c>
      <c r="AH21" s="471">
        <v>301</v>
      </c>
      <c r="AI21" s="471">
        <v>136</v>
      </c>
      <c r="AJ21" s="511">
        <v>168</v>
      </c>
      <c r="AK21" s="511">
        <v>282</v>
      </c>
      <c r="AL21" s="511">
        <v>176</v>
      </c>
      <c r="AM21" s="511">
        <v>160</v>
      </c>
      <c r="AN21" s="472">
        <v>205</v>
      </c>
      <c r="AO21" s="472">
        <v>277</v>
      </c>
      <c r="AP21" s="472">
        <f>('[2]Segmenty GK'!$AF45-'[2]Segmenty GK'!$AE45)/1000</f>
        <v>239</v>
      </c>
      <c r="AQ21" s="494">
        <v>220</v>
      </c>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row>
    <row r="22" spans="1:77" s="61" customFormat="1" ht="12">
      <c r="A22" s="1162"/>
      <c r="B22" s="1163"/>
      <c r="C22" s="455"/>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row>
    <row r="23" spans="1:77" s="1168" customFormat="1" ht="11.25">
      <c r="A23" s="1170" t="s">
        <v>440</v>
      </c>
      <c r="B23" s="1170" t="s">
        <v>441</v>
      </c>
      <c r="C23" s="1170"/>
      <c r="D23" s="1165"/>
      <c r="E23" s="1165"/>
      <c r="F23" s="1165"/>
      <c r="G23" s="1165"/>
      <c r="H23" s="1164"/>
      <c r="I23" s="1164"/>
      <c r="J23" s="1164"/>
      <c r="K23" s="1164"/>
      <c r="L23" s="1164"/>
      <c r="M23" s="1164"/>
      <c r="N23" s="1164"/>
      <c r="O23" s="1164"/>
      <c r="P23" s="1164"/>
      <c r="Q23" s="1164"/>
      <c r="R23" s="1164"/>
      <c r="S23" s="1164"/>
      <c r="T23" s="1164"/>
      <c r="U23" s="1164"/>
      <c r="V23" s="1164"/>
      <c r="W23" s="1164"/>
      <c r="X23" s="1164"/>
      <c r="Y23" s="1164"/>
      <c r="Z23" s="1164"/>
      <c r="AA23" s="1164"/>
      <c r="AB23" s="1164"/>
      <c r="AC23" s="1164"/>
      <c r="AD23" s="1164"/>
      <c r="AE23" s="1164"/>
      <c r="AF23" s="1164"/>
      <c r="AG23" s="1164"/>
      <c r="AH23" s="1164"/>
      <c r="AI23" s="1164"/>
      <c r="AJ23" s="1166"/>
      <c r="AK23" s="1166"/>
      <c r="AL23" s="1166"/>
      <c r="AM23" s="1166"/>
      <c r="AN23" s="1166"/>
      <c r="AO23" s="1166"/>
      <c r="AP23" s="1166"/>
      <c r="AQ23" s="1166"/>
      <c r="AR23" s="1167"/>
      <c r="AS23" s="1167"/>
      <c r="AT23" s="1167"/>
      <c r="AU23" s="1167"/>
      <c r="AV23" s="1167"/>
      <c r="AW23" s="1167"/>
      <c r="AX23" s="1167"/>
      <c r="AY23" s="1167"/>
      <c r="AZ23" s="1167"/>
      <c r="BA23" s="1167"/>
      <c r="BB23" s="1167"/>
      <c r="BC23" s="1167"/>
      <c r="BD23" s="1167"/>
      <c r="BE23" s="1167"/>
      <c r="BF23" s="1167"/>
      <c r="BG23" s="1167"/>
      <c r="BH23" s="1167"/>
      <c r="BI23" s="1167"/>
      <c r="BJ23" s="1167"/>
      <c r="BK23" s="1167"/>
      <c r="BL23" s="1167"/>
      <c r="BM23" s="1167"/>
      <c r="BN23" s="1167"/>
      <c r="BO23" s="1167"/>
      <c r="BP23" s="1167"/>
      <c r="BQ23" s="1167"/>
      <c r="BR23" s="1167"/>
      <c r="BS23" s="1167"/>
      <c r="BT23" s="1167"/>
      <c r="BU23" s="1167"/>
      <c r="BV23" s="1167"/>
      <c r="BW23" s="1167"/>
      <c r="BX23" s="1167"/>
      <c r="BY23" s="1167"/>
    </row>
    <row r="24" spans="1:77" s="145" customFormat="1">
      <c r="A24" s="150"/>
      <c r="B24" s="150"/>
      <c r="C24" s="150"/>
      <c r="D24" s="257"/>
      <c r="E24" s="257"/>
      <c r="F24" s="257"/>
      <c r="G24" s="257"/>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5"/>
      <c r="AK24" s="155"/>
      <c r="AL24" s="155"/>
      <c r="AM24" s="155"/>
      <c r="AN24" s="155"/>
      <c r="AO24" s="155"/>
      <c r="AP24" s="155"/>
      <c r="AQ24" s="155"/>
    </row>
    <row r="25" spans="1:77" s="145" customFormat="1">
      <c r="A25" s="150"/>
      <c r="B25" s="150"/>
      <c r="C25" s="150"/>
      <c r="D25" s="257"/>
      <c r="E25" s="257"/>
      <c r="F25" s="257"/>
      <c r="G25" s="257"/>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5"/>
      <c r="AK25" s="155"/>
      <c r="AL25" s="155"/>
      <c r="AM25" s="155"/>
      <c r="AN25" s="155"/>
      <c r="AO25" s="155"/>
      <c r="AP25" s="155"/>
      <c r="AQ25" s="155"/>
    </row>
    <row r="26" spans="1:77" s="145" customFormat="1">
      <c r="A26" s="150"/>
      <c r="B26" s="150"/>
      <c r="C26" s="150"/>
      <c r="D26" s="257"/>
      <c r="E26" s="257"/>
      <c r="F26" s="257"/>
      <c r="G26" s="257"/>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5"/>
      <c r="AK26" s="155"/>
      <c r="AL26" s="155"/>
      <c r="AM26" s="155"/>
      <c r="AN26" s="155"/>
      <c r="AO26" s="155"/>
      <c r="AP26" s="155"/>
      <c r="AQ26" s="155"/>
    </row>
    <row r="27" spans="1:77" s="145" customFormat="1">
      <c r="A27" s="150"/>
      <c r="B27" s="150"/>
      <c r="C27" s="150"/>
      <c r="D27" s="257"/>
      <c r="E27" s="257"/>
      <c r="F27" s="257"/>
      <c r="G27" s="257"/>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5"/>
      <c r="AK27" s="155"/>
      <c r="AL27" s="155"/>
      <c r="AM27" s="155"/>
      <c r="AN27" s="155"/>
      <c r="AO27" s="155"/>
      <c r="AP27" s="155"/>
      <c r="AQ27" s="155"/>
    </row>
    <row r="28" spans="1:77" s="145" customFormat="1">
      <c r="A28" s="150"/>
      <c r="B28" s="150"/>
      <c r="C28" s="150"/>
      <c r="D28" s="257"/>
      <c r="E28" s="257"/>
      <c r="F28" s="257"/>
      <c r="G28" s="257"/>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5"/>
      <c r="AK28" s="155"/>
      <c r="AL28" s="155"/>
      <c r="AM28" s="155"/>
      <c r="AN28" s="155"/>
      <c r="AO28" s="155"/>
      <c r="AP28" s="155"/>
      <c r="AQ28" s="155"/>
    </row>
    <row r="29" spans="1:77" s="145" customFormat="1">
      <c r="A29" s="150"/>
      <c r="B29" s="150"/>
      <c r="C29" s="150"/>
      <c r="D29" s="257"/>
      <c r="E29" s="257"/>
      <c r="F29" s="257"/>
      <c r="G29" s="257"/>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5"/>
      <c r="AK29" s="155"/>
      <c r="AL29" s="155"/>
      <c r="AM29" s="155"/>
      <c r="AN29" s="155"/>
      <c r="AO29" s="155"/>
      <c r="AP29" s="155"/>
      <c r="AQ29" s="155"/>
    </row>
    <row r="30" spans="1:77" s="145" customFormat="1">
      <c r="A30" s="150"/>
      <c r="B30" s="150"/>
      <c r="C30" s="150"/>
      <c r="D30" s="257"/>
      <c r="E30" s="257"/>
      <c r="F30" s="257"/>
      <c r="G30" s="257"/>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5"/>
      <c r="AK30" s="155"/>
      <c r="AL30" s="155"/>
      <c r="AM30" s="155"/>
      <c r="AN30" s="155"/>
      <c r="AO30" s="155"/>
      <c r="AP30" s="155"/>
      <c r="AQ30" s="155"/>
    </row>
    <row r="31" spans="1:77" s="145" customFormat="1">
      <c r="A31" s="150"/>
      <c r="B31" s="150"/>
      <c r="C31" s="150"/>
      <c r="D31" s="257"/>
      <c r="E31" s="257"/>
      <c r="F31" s="257"/>
      <c r="G31" s="257"/>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5"/>
      <c r="AK31" s="155"/>
      <c r="AL31" s="155"/>
      <c r="AM31" s="155"/>
      <c r="AN31" s="155"/>
      <c r="AO31" s="155"/>
      <c r="AP31" s="155"/>
      <c r="AQ31" s="155"/>
    </row>
    <row r="32" spans="1:77" s="145" customFormat="1">
      <c r="A32" s="150"/>
      <c r="B32" s="150"/>
      <c r="C32" s="150"/>
      <c r="D32" s="257"/>
      <c r="E32" s="257"/>
      <c r="F32" s="257"/>
      <c r="G32" s="257"/>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5"/>
      <c r="AK32" s="155"/>
      <c r="AL32" s="155"/>
      <c r="AM32" s="155"/>
      <c r="AN32" s="155"/>
      <c r="AO32" s="155"/>
      <c r="AP32" s="155"/>
      <c r="AQ32" s="155"/>
    </row>
    <row r="33" spans="1:43" s="145" customFormat="1">
      <c r="A33" s="150"/>
      <c r="B33" s="150"/>
      <c r="C33" s="150"/>
      <c r="D33" s="257"/>
      <c r="E33" s="257"/>
      <c r="F33" s="257"/>
      <c r="G33" s="257"/>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5"/>
      <c r="AK33" s="155"/>
      <c r="AL33" s="155"/>
      <c r="AM33" s="155"/>
      <c r="AN33" s="155"/>
      <c r="AO33" s="155"/>
      <c r="AP33" s="155"/>
      <c r="AQ33" s="155"/>
    </row>
    <row r="34" spans="1:43" s="145" customFormat="1">
      <c r="A34" s="150"/>
      <c r="B34" s="150"/>
      <c r="C34" s="150"/>
      <c r="D34" s="257"/>
      <c r="E34" s="257"/>
      <c r="F34" s="257"/>
      <c r="G34" s="257"/>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5"/>
      <c r="AK34" s="155"/>
      <c r="AL34" s="155"/>
      <c r="AM34" s="155"/>
      <c r="AN34" s="155"/>
      <c r="AO34" s="155"/>
      <c r="AP34" s="155"/>
      <c r="AQ34" s="155"/>
    </row>
    <row r="35" spans="1:43" s="145" customFormat="1">
      <c r="A35" s="150"/>
      <c r="B35" s="150"/>
      <c r="C35" s="150"/>
      <c r="D35" s="257"/>
      <c r="E35" s="257"/>
      <c r="F35" s="257"/>
      <c r="G35" s="257"/>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5"/>
      <c r="AK35" s="155"/>
      <c r="AL35" s="155"/>
      <c r="AM35" s="155"/>
      <c r="AN35" s="155"/>
      <c r="AO35" s="155"/>
      <c r="AP35" s="155"/>
      <c r="AQ35" s="155"/>
    </row>
    <row r="36" spans="1:43" s="145" customFormat="1">
      <c r="A36" s="150"/>
      <c r="B36" s="150"/>
      <c r="C36" s="150"/>
      <c r="D36" s="257"/>
      <c r="E36" s="257"/>
      <c r="F36" s="257"/>
      <c r="G36" s="257"/>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5"/>
      <c r="AK36" s="155"/>
      <c r="AL36" s="155"/>
      <c r="AM36" s="155"/>
      <c r="AN36" s="155"/>
      <c r="AO36" s="155"/>
      <c r="AP36" s="155"/>
      <c r="AQ36" s="155"/>
    </row>
    <row r="37" spans="1:43" s="150" customFormat="1">
      <c r="A37" s="157"/>
      <c r="B37" s="157"/>
      <c r="C37" s="157"/>
      <c r="D37" s="257"/>
      <c r="E37" s="257"/>
      <c r="F37" s="257"/>
      <c r="G37" s="257"/>
      <c r="AJ37" s="154"/>
      <c r="AK37" s="154"/>
      <c r="AL37" s="154"/>
      <c r="AM37" s="154"/>
      <c r="AN37" s="154"/>
      <c r="AO37" s="154"/>
      <c r="AP37" s="154"/>
      <c r="AQ37" s="154"/>
    </row>
    <row r="38" spans="1:43" s="150" customFormat="1">
      <c r="A38" s="158"/>
      <c r="B38" s="158"/>
      <c r="C38" s="158"/>
      <c r="D38" s="257"/>
      <c r="E38" s="257"/>
      <c r="F38" s="257"/>
      <c r="G38" s="257"/>
      <c r="AJ38" s="154"/>
      <c r="AK38" s="154"/>
      <c r="AL38" s="154"/>
      <c r="AM38" s="154"/>
      <c r="AN38" s="154"/>
      <c r="AO38" s="154"/>
      <c r="AP38" s="154"/>
      <c r="AQ38" s="154"/>
    </row>
    <row r="39" spans="1:43" s="150" customFormat="1">
      <c r="A39" s="159"/>
      <c r="B39" s="159"/>
      <c r="C39" s="159"/>
      <c r="D39" s="257"/>
      <c r="E39" s="257"/>
      <c r="F39" s="257"/>
      <c r="G39" s="257"/>
      <c r="AJ39" s="154"/>
      <c r="AK39" s="154"/>
      <c r="AL39" s="154"/>
      <c r="AM39" s="154"/>
      <c r="AN39" s="154"/>
      <c r="AO39" s="154"/>
      <c r="AP39" s="154"/>
      <c r="AQ39" s="154"/>
    </row>
    <row r="40" spans="1:43" s="145" customFormat="1">
      <c r="A40" s="160"/>
      <c r="B40" s="160"/>
      <c r="C40" s="160"/>
      <c r="D40" s="257"/>
      <c r="E40" s="257"/>
      <c r="F40" s="257"/>
      <c r="G40" s="257"/>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5"/>
      <c r="AK40" s="155"/>
      <c r="AL40" s="155"/>
      <c r="AM40" s="155"/>
      <c r="AN40" s="155"/>
      <c r="AO40" s="155"/>
      <c r="AP40" s="155"/>
      <c r="AQ40" s="155"/>
    </row>
    <row r="41" spans="1:43" s="145" customFormat="1">
      <c r="A41" s="160"/>
      <c r="B41" s="160"/>
      <c r="C41" s="160"/>
      <c r="D41" s="257"/>
      <c r="E41" s="257"/>
      <c r="F41" s="257"/>
      <c r="G41" s="257"/>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5"/>
      <c r="AK41" s="155"/>
      <c r="AL41" s="155"/>
      <c r="AM41" s="155"/>
      <c r="AN41" s="155"/>
      <c r="AO41" s="155"/>
      <c r="AP41" s="155"/>
      <c r="AQ41" s="155"/>
    </row>
    <row r="42" spans="1:43" s="145" customFormat="1">
      <c r="A42" s="160"/>
      <c r="B42" s="160"/>
      <c r="C42" s="160"/>
      <c r="D42" s="257"/>
      <c r="E42" s="257"/>
      <c r="F42" s="257"/>
      <c r="G42" s="257"/>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5"/>
      <c r="AK42" s="155"/>
      <c r="AL42" s="155"/>
      <c r="AM42" s="155"/>
      <c r="AN42" s="155"/>
      <c r="AO42" s="155"/>
      <c r="AP42" s="155"/>
      <c r="AQ42" s="155"/>
    </row>
    <row r="43" spans="1:43" s="145" customFormat="1">
      <c r="A43" s="160"/>
      <c r="B43" s="160"/>
      <c r="C43" s="160"/>
      <c r="D43" s="257"/>
      <c r="E43" s="257"/>
      <c r="F43" s="257"/>
      <c r="G43" s="257"/>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5"/>
      <c r="AK43" s="155"/>
      <c r="AL43" s="155"/>
      <c r="AM43" s="155"/>
      <c r="AN43" s="155"/>
      <c r="AO43" s="155"/>
      <c r="AP43" s="155"/>
      <c r="AQ43" s="155"/>
    </row>
    <row r="44" spans="1:43" s="145" customFormat="1">
      <c r="A44" s="160"/>
      <c r="B44" s="160"/>
      <c r="C44" s="160"/>
      <c r="D44" s="257"/>
      <c r="E44" s="257"/>
      <c r="F44" s="257"/>
      <c r="G44" s="257"/>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5"/>
      <c r="AK44" s="155"/>
      <c r="AL44" s="155"/>
      <c r="AM44" s="155"/>
      <c r="AN44" s="155"/>
      <c r="AO44" s="155"/>
      <c r="AP44" s="155"/>
      <c r="AQ44" s="155"/>
    </row>
    <row r="45" spans="1:43" s="145" customFormat="1">
      <c r="A45" s="160"/>
      <c r="B45" s="160"/>
      <c r="C45" s="160"/>
      <c r="D45" s="257"/>
      <c r="E45" s="257"/>
      <c r="F45" s="257"/>
      <c r="G45" s="257"/>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5"/>
      <c r="AK45" s="155"/>
      <c r="AL45" s="155"/>
      <c r="AM45" s="155"/>
      <c r="AN45" s="155"/>
      <c r="AO45" s="155"/>
      <c r="AP45" s="155"/>
      <c r="AQ45" s="155"/>
    </row>
    <row r="46" spans="1:43" s="145" customFormat="1">
      <c r="A46" s="160"/>
      <c r="B46" s="160"/>
      <c r="C46" s="160"/>
      <c r="D46" s="257"/>
      <c r="E46" s="257"/>
      <c r="F46" s="257"/>
      <c r="G46" s="257"/>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5"/>
      <c r="AK46" s="155"/>
      <c r="AL46" s="155"/>
      <c r="AM46" s="155"/>
      <c r="AN46" s="155"/>
      <c r="AO46" s="155"/>
      <c r="AP46" s="155"/>
      <c r="AQ46" s="155"/>
    </row>
    <row r="47" spans="1:43" s="145" customFormat="1">
      <c r="A47" s="160"/>
      <c r="B47" s="160"/>
      <c r="C47" s="160"/>
      <c r="D47" s="257"/>
      <c r="E47" s="257"/>
      <c r="F47" s="257"/>
      <c r="G47" s="257"/>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5"/>
      <c r="AK47" s="155"/>
      <c r="AL47" s="155"/>
      <c r="AM47" s="155"/>
      <c r="AN47" s="155"/>
      <c r="AO47" s="155"/>
      <c r="AP47" s="155"/>
      <c r="AQ47" s="155"/>
    </row>
    <row r="48" spans="1:43" s="145" customFormat="1">
      <c r="A48" s="160"/>
      <c r="B48" s="160"/>
      <c r="C48" s="160"/>
      <c r="D48" s="257"/>
      <c r="E48" s="257"/>
      <c r="F48" s="257"/>
      <c r="G48" s="257"/>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5"/>
      <c r="AK48" s="155"/>
      <c r="AL48" s="155"/>
      <c r="AM48" s="155"/>
      <c r="AN48" s="155"/>
      <c r="AO48" s="155"/>
      <c r="AP48" s="155"/>
      <c r="AQ48" s="155"/>
    </row>
    <row r="49" spans="4:7" s="145" customFormat="1">
      <c r="D49" s="258"/>
      <c r="E49" s="258"/>
      <c r="F49" s="258"/>
      <c r="G49" s="258"/>
    </row>
    <row r="50" spans="4:7" s="145" customFormat="1">
      <c r="D50" s="258"/>
      <c r="E50" s="258"/>
      <c r="F50" s="258"/>
      <c r="G50" s="258"/>
    </row>
    <row r="51" spans="4:7" s="145" customFormat="1">
      <c r="D51" s="258"/>
      <c r="E51" s="258"/>
      <c r="F51" s="258"/>
      <c r="G51" s="258"/>
    </row>
    <row r="52" spans="4:7" s="145" customFormat="1">
      <c r="D52" s="258"/>
      <c r="E52" s="258"/>
      <c r="F52" s="258"/>
      <c r="G52" s="258"/>
    </row>
    <row r="53" spans="4:7" s="145" customFormat="1">
      <c r="D53" s="258"/>
      <c r="E53" s="258"/>
      <c r="F53" s="258"/>
      <c r="G53" s="258"/>
    </row>
    <row r="54" spans="4:7" s="145" customFormat="1">
      <c r="D54" s="258"/>
      <c r="E54" s="258"/>
      <c r="F54" s="258"/>
      <c r="G54" s="258"/>
    </row>
    <row r="55" spans="4:7" s="145" customFormat="1">
      <c r="D55" s="258"/>
      <c r="E55" s="258"/>
      <c r="F55" s="258"/>
      <c r="G55" s="258"/>
    </row>
    <row r="56" spans="4:7" s="145" customFormat="1">
      <c r="D56" s="258"/>
      <c r="E56" s="258"/>
      <c r="F56" s="258"/>
      <c r="G56" s="258"/>
    </row>
    <row r="57" spans="4:7" s="145" customFormat="1">
      <c r="D57" s="258"/>
      <c r="E57" s="258"/>
      <c r="F57" s="258"/>
      <c r="G57" s="258"/>
    </row>
    <row r="58" spans="4:7" s="145" customFormat="1">
      <c r="D58" s="258"/>
      <c r="E58" s="258"/>
      <c r="F58" s="258"/>
      <c r="G58" s="258"/>
    </row>
    <row r="59" spans="4:7" s="145" customFormat="1">
      <c r="D59" s="258"/>
      <c r="E59" s="258"/>
      <c r="F59" s="258"/>
      <c r="G59" s="258"/>
    </row>
    <row r="60" spans="4:7" s="145" customFormat="1">
      <c r="D60" s="258"/>
      <c r="E60" s="258"/>
      <c r="F60" s="258"/>
      <c r="G60" s="258"/>
    </row>
    <row r="61" spans="4:7" s="145" customFormat="1">
      <c r="D61" s="258"/>
      <c r="E61" s="258"/>
      <c r="F61" s="258"/>
      <c r="G61" s="258"/>
    </row>
    <row r="62" spans="4:7" s="145" customFormat="1">
      <c r="D62" s="258"/>
      <c r="E62" s="258"/>
      <c r="F62" s="258"/>
      <c r="G62" s="258"/>
    </row>
    <row r="63" spans="4:7" s="145" customFormat="1">
      <c r="D63" s="258"/>
      <c r="E63" s="258"/>
      <c r="F63" s="258"/>
      <c r="G63" s="258"/>
    </row>
    <row r="64" spans="4:7" s="145" customFormat="1">
      <c r="D64" s="258"/>
      <c r="E64" s="258"/>
      <c r="F64" s="258"/>
      <c r="G64" s="258"/>
    </row>
    <row r="65" spans="1:43" s="145" customFormat="1">
      <c r="D65" s="258"/>
      <c r="E65" s="258"/>
      <c r="F65" s="258"/>
      <c r="G65" s="258"/>
    </row>
    <row r="66" spans="1:43" s="145" customFormat="1">
      <c r="D66" s="258"/>
      <c r="E66" s="258"/>
      <c r="F66" s="258"/>
      <c r="G66" s="258"/>
    </row>
    <row r="67" spans="1:43" s="145" customFormat="1">
      <c r="D67" s="258"/>
      <c r="E67" s="258"/>
      <c r="F67" s="258"/>
      <c r="G67" s="258"/>
    </row>
    <row r="68" spans="1:43" s="145" customFormat="1">
      <c r="D68" s="258"/>
      <c r="E68" s="258"/>
      <c r="F68" s="258"/>
      <c r="G68" s="258"/>
    </row>
    <row r="69" spans="1:43" s="145" customFormat="1">
      <c r="D69" s="258"/>
      <c r="E69" s="258"/>
      <c r="F69" s="258"/>
      <c r="G69" s="258"/>
    </row>
    <row r="70" spans="1:43" s="145" customFormat="1">
      <c r="D70" s="258"/>
      <c r="E70" s="258"/>
      <c r="F70" s="258"/>
      <c r="G70" s="258"/>
    </row>
    <row r="71" spans="1:43" s="145" customFormat="1">
      <c r="D71" s="258"/>
      <c r="E71" s="258"/>
      <c r="F71" s="258"/>
      <c r="G71" s="258"/>
    </row>
    <row r="72" spans="1:43" s="145" customFormat="1">
      <c r="D72" s="258"/>
      <c r="E72" s="258"/>
      <c r="F72" s="258"/>
      <c r="G72" s="258"/>
    </row>
    <row r="73" spans="1:43" s="145" customFormat="1">
      <c r="D73" s="258"/>
      <c r="E73" s="258"/>
      <c r="F73" s="258"/>
      <c r="G73" s="258"/>
    </row>
    <row r="74" spans="1:43" s="145" customFormat="1">
      <c r="D74" s="258"/>
      <c r="E74" s="258"/>
      <c r="F74" s="258"/>
      <c r="G74" s="258"/>
    </row>
    <row r="75" spans="1:43" s="145" customFormat="1">
      <c r="D75" s="258"/>
      <c r="E75" s="258"/>
      <c r="F75" s="258"/>
      <c r="G75" s="258"/>
    </row>
    <row r="76" spans="1:43" s="145" customFormat="1">
      <c r="D76" s="258"/>
      <c r="E76" s="258"/>
      <c r="F76" s="258"/>
      <c r="G76" s="258"/>
    </row>
    <row r="77" spans="1:43">
      <c r="A77" s="5"/>
      <c r="B77" s="5"/>
      <c r="C77" s="5"/>
      <c r="D77" s="53"/>
      <c r="E77" s="53"/>
      <c r="F77" s="53"/>
      <c r="G77" s="53"/>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4" fitToHeight="0" orientation="portrait"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L586"/>
  <sheetViews>
    <sheetView tabSelected="1" view="pageBreakPreview" zoomScaleNormal="100" zoomScaleSheetLayoutView="100" workbookViewId="0">
      <pane xSplit="1" topLeftCell="B1" activePane="topRight" state="frozen"/>
      <selection pane="topRight" activeCell="AK75" sqref="AK75"/>
    </sheetView>
  </sheetViews>
  <sheetFormatPr defaultColWidth="8.7109375" defaultRowHeight="14.25" customHeight="1" outlineLevelCol="1"/>
  <cols>
    <col min="1" max="2" width="64.7109375" style="138" customWidth="1"/>
    <col min="3" max="3" width="8.28515625" style="138" hidden="1" customWidth="1"/>
    <col min="4" max="35" width="12.7109375" style="138" hidden="1" customWidth="1" outlineLevel="1"/>
    <col min="36" max="36" width="12.7109375" style="138" customWidth="1" collapsed="1"/>
    <col min="37" max="43" width="12.7109375" style="138" customWidth="1"/>
    <col min="44" max="90" width="8.7109375" style="143"/>
    <col min="91" max="16384" width="8.7109375" style="138"/>
  </cols>
  <sheetData>
    <row r="1" spans="1:90" s="148" customFormat="1" ht="20.100000000000001" customHeight="1">
      <c r="A1" s="147" t="s">
        <v>103</v>
      </c>
      <c r="B1" s="394" t="s">
        <v>716</v>
      </c>
      <c r="C1" s="394"/>
      <c r="D1" s="395"/>
      <c r="E1" s="395"/>
      <c r="F1" s="395"/>
      <c r="G1" s="395"/>
      <c r="H1" s="395"/>
      <c r="I1" s="395"/>
      <c r="J1" s="395"/>
      <c r="K1" s="395"/>
      <c r="L1" s="395"/>
      <c r="M1" s="395"/>
      <c r="N1" s="395"/>
      <c r="O1" s="395"/>
      <c r="P1" s="396"/>
      <c r="Q1" s="396"/>
      <c r="R1" s="396"/>
      <c r="S1" s="396"/>
      <c r="T1" s="396"/>
      <c r="U1" s="396"/>
      <c r="V1" s="396"/>
      <c r="W1" s="395"/>
      <c r="X1" s="395"/>
      <c r="Y1" s="397"/>
      <c r="Z1" s="397"/>
      <c r="AA1" s="397"/>
      <c r="AB1" s="397"/>
      <c r="AC1" s="397"/>
      <c r="AD1" s="397"/>
      <c r="AE1" s="397"/>
      <c r="AF1" s="397"/>
      <c r="AG1" s="397"/>
      <c r="AH1" s="397"/>
      <c r="AI1" s="397"/>
      <c r="AJ1" s="397"/>
      <c r="AK1" s="397"/>
      <c r="AL1" s="397"/>
      <c r="AM1" s="397"/>
      <c r="AN1" s="397"/>
      <c r="AO1" s="392"/>
      <c r="AP1" s="397"/>
      <c r="AQ1" s="392" t="s">
        <v>800</v>
      </c>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row>
    <row r="2" spans="1:90" s="148" customFormat="1" ht="12" customHeight="1">
      <c r="A2" s="394"/>
      <c r="B2" s="394"/>
      <c r="C2" s="394"/>
      <c r="D2" s="395"/>
      <c r="E2" s="395"/>
      <c r="F2" s="395"/>
      <c r="G2" s="395"/>
      <c r="H2" s="395"/>
      <c r="I2" s="395"/>
      <c r="J2" s="395"/>
      <c r="K2" s="395"/>
      <c r="L2" s="395"/>
      <c r="M2" s="395"/>
      <c r="N2" s="395"/>
      <c r="O2" s="395"/>
      <c r="P2" s="396" t="s">
        <v>108</v>
      </c>
      <c r="Q2" s="396" t="s">
        <v>108</v>
      </c>
      <c r="R2" s="396" t="s">
        <v>108</v>
      </c>
      <c r="S2" s="396" t="s">
        <v>108</v>
      </c>
      <c r="T2" s="396" t="s">
        <v>108</v>
      </c>
      <c r="U2" s="396" t="s">
        <v>108</v>
      </c>
      <c r="V2" s="396" t="s">
        <v>108</v>
      </c>
      <c r="W2" s="395"/>
      <c r="X2" s="395"/>
      <c r="Y2" s="397"/>
      <c r="Z2" s="397"/>
      <c r="AA2" s="397"/>
      <c r="AB2" s="397"/>
      <c r="AC2" s="397"/>
      <c r="AD2" s="397"/>
      <c r="AE2" s="397"/>
      <c r="AF2" s="397"/>
      <c r="AG2" s="397"/>
      <c r="AH2" s="397"/>
      <c r="AI2" s="397"/>
      <c r="AJ2" s="397"/>
      <c r="AK2" s="397"/>
      <c r="AL2" s="397"/>
      <c r="AM2" s="397"/>
      <c r="AN2" s="397"/>
      <c r="AO2" s="392"/>
      <c r="AP2" s="397"/>
      <c r="AQ2" s="392" t="s">
        <v>801</v>
      </c>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row>
    <row r="3" spans="1:90" s="148" customFormat="1" ht="12" customHeight="1" thickBot="1">
      <c r="A3" s="394"/>
      <c r="B3" s="394"/>
      <c r="C3" s="394"/>
      <c r="D3" s="395"/>
      <c r="E3" s="395"/>
      <c r="F3" s="395"/>
      <c r="G3" s="395"/>
      <c r="H3" s="395"/>
      <c r="I3" s="395"/>
      <c r="J3" s="395"/>
      <c r="K3" s="395"/>
      <c r="L3" s="395"/>
      <c r="M3" s="395"/>
      <c r="N3" s="395"/>
      <c r="O3" s="395"/>
      <c r="P3" s="396" t="s">
        <v>109</v>
      </c>
      <c r="Q3" s="396" t="s">
        <v>109</v>
      </c>
      <c r="R3" s="396" t="s">
        <v>109</v>
      </c>
      <c r="S3" s="396" t="s">
        <v>109</v>
      </c>
      <c r="T3" s="396" t="s">
        <v>109</v>
      </c>
      <c r="U3" s="396" t="s">
        <v>109</v>
      </c>
      <c r="V3" s="396" t="s">
        <v>109</v>
      </c>
      <c r="W3" s="395"/>
      <c r="X3" s="395"/>
      <c r="Y3" s="397"/>
      <c r="Z3" s="397"/>
      <c r="AA3" s="397"/>
      <c r="AB3" s="397"/>
      <c r="AC3" s="397"/>
      <c r="AD3" s="397"/>
      <c r="AE3" s="397"/>
      <c r="AF3" s="397"/>
      <c r="AG3" s="397"/>
      <c r="AH3" s="397"/>
      <c r="AI3" s="397"/>
      <c r="AJ3" s="397"/>
      <c r="AK3" s="397"/>
      <c r="AL3" s="397"/>
      <c r="AM3" s="397"/>
      <c r="AN3" s="397"/>
      <c r="AO3" s="397"/>
      <c r="AP3" s="397"/>
      <c r="AQ3" s="397"/>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row>
    <row r="4" spans="1:90" s="48" customFormat="1" ht="15.75" thickBot="1">
      <c r="A4" s="304" t="s">
        <v>391</v>
      </c>
      <c r="B4" s="305" t="s">
        <v>180</v>
      </c>
      <c r="C4" s="305"/>
      <c r="D4" s="305" t="s">
        <v>24</v>
      </c>
      <c r="E4" s="305" t="s">
        <v>25</v>
      </c>
      <c r="F4" s="305" t="s">
        <v>26</v>
      </c>
      <c r="G4" s="305" t="s">
        <v>27</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305" t="s">
        <v>43</v>
      </c>
      <c r="X4" s="305" t="s">
        <v>110</v>
      </c>
      <c r="Y4" s="305" t="s">
        <v>111</v>
      </c>
      <c r="Z4" s="305" t="s">
        <v>113</v>
      </c>
      <c r="AA4" s="305" t="s">
        <v>120</v>
      </c>
      <c r="AB4" s="305" t="s">
        <v>114</v>
      </c>
      <c r="AC4" s="305" t="s">
        <v>116</v>
      </c>
      <c r="AD4" s="305" t="s">
        <v>117</v>
      </c>
      <c r="AE4" s="305" t="s">
        <v>119</v>
      </c>
      <c r="AF4" s="306" t="s">
        <v>121</v>
      </c>
      <c r="AG4" s="306" t="s">
        <v>123</v>
      </c>
      <c r="AH4" s="306" t="s">
        <v>124</v>
      </c>
      <c r="AI4" s="306" t="s">
        <v>125</v>
      </c>
      <c r="AJ4" s="306" t="s">
        <v>127</v>
      </c>
      <c r="AK4" s="306" t="s">
        <v>128</v>
      </c>
      <c r="AL4" s="306" t="s">
        <v>129</v>
      </c>
      <c r="AM4" s="306" t="s">
        <v>130</v>
      </c>
      <c r="AN4" s="306" t="s">
        <v>131</v>
      </c>
      <c r="AO4" s="306" t="s">
        <v>223</v>
      </c>
      <c r="AP4" s="306" t="s">
        <v>224</v>
      </c>
      <c r="AQ4" s="307" t="s">
        <v>511</v>
      </c>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row>
    <row r="5" spans="1:90" s="139" customFormat="1" ht="15.95" customHeight="1">
      <c r="A5" s="308" t="s">
        <v>3</v>
      </c>
      <c r="B5" s="309" t="s">
        <v>143</v>
      </c>
      <c r="C5" s="309"/>
      <c r="D5" s="310">
        <f>'3_Odsetkowy_NII'!D54</f>
        <v>1193.1450000000002</v>
      </c>
      <c r="E5" s="310">
        <f>'3_Odsetkowy_NII'!E54</f>
        <v>1108.4819999999995</v>
      </c>
      <c r="F5" s="310">
        <f>'3_Odsetkowy_NII'!F54</f>
        <v>1332.32</v>
      </c>
      <c r="G5" s="310">
        <f>'3_Odsetkowy_NII'!G54</f>
        <v>1417.234999999999</v>
      </c>
      <c r="H5" s="310">
        <f>'3_Odsetkowy_NII'!H54</f>
        <v>1474.4990000000003</v>
      </c>
      <c r="I5" s="310">
        <f>'3_Odsetkowy_NII'!I54</f>
        <v>1591.6800000000003</v>
      </c>
      <c r="J5" s="310">
        <f>'3_Odsetkowy_NII'!J54</f>
        <v>1719.1570000000002</v>
      </c>
      <c r="K5" s="310">
        <f>'3_Odsetkowy_NII'!K54</f>
        <v>1730.8299999999995</v>
      </c>
      <c r="L5" s="310">
        <f>'3_Odsetkowy_NII'!L54</f>
        <v>1719.4689999999998</v>
      </c>
      <c r="M5" s="310">
        <f>'3_Odsetkowy_NII'!M54</f>
        <v>1674.8820000000005</v>
      </c>
      <c r="N5" s="310">
        <f>'3_Odsetkowy_NII'!N54</f>
        <v>1964.1350000000002</v>
      </c>
      <c r="O5" s="310">
        <f>'3_Odsetkowy_NII'!O54</f>
        <v>2250.63</v>
      </c>
      <c r="P5" s="310">
        <f>'3_Odsetkowy_NII'!P54</f>
        <v>2113.2859999999996</v>
      </c>
      <c r="Q5" s="310">
        <f>'3_Odsetkowy_NII'!Q54</f>
        <v>2045.3389999999999</v>
      </c>
      <c r="R5" s="310">
        <f>'3_Odsetkowy_NII'!R54</f>
        <v>2021.8319999999999</v>
      </c>
      <c r="S5" s="310">
        <f>'3_Odsetkowy_NII'!S54</f>
        <v>1908.6350000000007</v>
      </c>
      <c r="T5" s="310">
        <f>'3_Odsetkowy_NII'!T54</f>
        <v>1752.6510000000001</v>
      </c>
      <c r="U5" s="310">
        <f>'3_Odsetkowy_NII'!U54</f>
        <v>1627.8500000000001</v>
      </c>
      <c r="V5" s="310">
        <f>'3_Odsetkowy_NII'!V54</f>
        <v>1626.9320000000002</v>
      </c>
      <c r="W5" s="310">
        <f>'3_Odsetkowy_NII'!W54</f>
        <v>1714.5289999999995</v>
      </c>
      <c r="X5" s="310">
        <f>'3_Odsetkowy_NII'!X54</f>
        <v>1739.828</v>
      </c>
      <c r="Y5" s="310">
        <f>'3_Odsetkowy_NII'!Y54</f>
        <v>1939.0340000000001</v>
      </c>
      <c r="Z5" s="310">
        <f>'3_Odsetkowy_NII'!Z54</f>
        <v>1978.7149999999999</v>
      </c>
      <c r="AA5" s="310">
        <f>'3_Odsetkowy_NII'!AA54</f>
        <v>1865.3540000000003</v>
      </c>
      <c r="AB5" s="310">
        <f>'3_Odsetkowy_NII'!AB54</f>
        <v>1670.7379999999998</v>
      </c>
      <c r="AC5" s="310">
        <f>'3_Odsetkowy_NII'!AC54</f>
        <v>1683.3620000000001</v>
      </c>
      <c r="AD5" s="310">
        <f>'3_Odsetkowy_NII'!AD54</f>
        <v>1818.0989999999997</v>
      </c>
      <c r="AE5" s="310">
        <f>'3_Odsetkowy_NII'!AE54</f>
        <v>1856.4010000000003</v>
      </c>
      <c r="AF5" s="310">
        <f>'3_Odsetkowy_NII'!AF54</f>
        <v>2392</v>
      </c>
      <c r="AG5" s="310">
        <f>'3_Odsetkowy_NII'!AG54</f>
        <v>1909</v>
      </c>
      <c r="AH5" s="310">
        <f>'3_Odsetkowy_NII'!AH54</f>
        <v>1972</v>
      </c>
      <c r="AI5" s="310">
        <f>'3_Odsetkowy_NII'!AI54</f>
        <v>2021</v>
      </c>
      <c r="AJ5" s="1253">
        <f>'2_RZiS_P&amp;L'!AJ7</f>
        <v>2046</v>
      </c>
      <c r="AK5" s="1253">
        <f>'2_RZiS_P&amp;L'!AK7</f>
        <v>2114</v>
      </c>
      <c r="AL5" s="1253">
        <f>'2_RZiS_P&amp;L'!AL7</f>
        <v>2197</v>
      </c>
      <c r="AM5" s="1253">
        <f>'2_RZiS_P&amp;L'!AM7</f>
        <v>2249</v>
      </c>
      <c r="AN5" s="1253">
        <f>'2_RZiS_P&amp;L'!AN7</f>
        <v>2216</v>
      </c>
      <c r="AO5" s="1253">
        <f>'2_RZiS_P&amp;L'!AO7</f>
        <v>2291</v>
      </c>
      <c r="AP5" s="1253">
        <f>'2_RZiS_P&amp;L'!AP7</f>
        <v>2366</v>
      </c>
      <c r="AQ5" s="310">
        <f>'2_RZiS_P&amp;L'!AQ7</f>
        <v>2480</v>
      </c>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row>
    <row r="6" spans="1:90" s="139" customFormat="1" ht="15.95" customHeight="1">
      <c r="A6" s="311" t="s">
        <v>6</v>
      </c>
      <c r="B6" s="312" t="s">
        <v>146</v>
      </c>
      <c r="C6" s="312"/>
      <c r="D6" s="313">
        <f>'4_Prowizyjny_F&amp;C'!D33</f>
        <v>549.89</v>
      </c>
      <c r="E6" s="313">
        <f>'4_Prowizyjny_F&amp;C'!E33</f>
        <v>621.89700000000005</v>
      </c>
      <c r="F6" s="313">
        <f>'4_Prowizyjny_F&amp;C'!F33</f>
        <v>701.30100000000004</v>
      </c>
      <c r="G6" s="313">
        <f>'4_Prowizyjny_F&amp;C'!G33</f>
        <v>709.91499999999996</v>
      </c>
      <c r="H6" s="313">
        <f>'4_Prowizyjny_F&amp;C'!H33</f>
        <v>725.42200000000003</v>
      </c>
      <c r="I6" s="313">
        <f>'4_Prowizyjny_F&amp;C'!I33</f>
        <v>801.8</v>
      </c>
      <c r="J6" s="313">
        <f>'4_Prowizyjny_F&amp;C'!J33</f>
        <v>797.58</v>
      </c>
      <c r="K6" s="313">
        <f>'4_Prowizyjny_F&amp;C'!K33</f>
        <v>818.02700000000004</v>
      </c>
      <c r="L6" s="313">
        <f>'4_Prowizyjny_F&amp;C'!L33</f>
        <v>737.19399999999996</v>
      </c>
      <c r="M6" s="313">
        <f>'4_Prowizyjny_F&amp;C'!M33</f>
        <v>804.20899999999995</v>
      </c>
      <c r="N6" s="313">
        <f>'4_Prowizyjny_F&amp;C'!N33</f>
        <v>768.30200000000002</v>
      </c>
      <c r="O6" s="313">
        <f>'4_Prowizyjny_F&amp;C'!O33</f>
        <v>791.73900000000003</v>
      </c>
      <c r="P6" s="313">
        <f>'4_Prowizyjny_F&amp;C'!P33</f>
        <v>683.9</v>
      </c>
      <c r="Q6" s="313">
        <f>'4_Prowizyjny_F&amp;C'!Q33</f>
        <v>733.5</v>
      </c>
      <c r="R6" s="313">
        <f>'4_Prowizyjny_F&amp;C'!R33</f>
        <v>726.7</v>
      </c>
      <c r="S6" s="313">
        <f>'4_Prowizyjny_F&amp;C'!S33</f>
        <v>772</v>
      </c>
      <c r="T6" s="313">
        <f>'4_Prowizyjny_F&amp;C'!T33</f>
        <v>717.54</v>
      </c>
      <c r="U6" s="313">
        <f>'4_Prowizyjny_F&amp;C'!U33</f>
        <v>717</v>
      </c>
      <c r="V6" s="313">
        <f>'4_Prowizyjny_F&amp;C'!V33</f>
        <v>756.54399999999998</v>
      </c>
      <c r="W6" s="313">
        <f>'4_Prowizyjny_F&amp;C'!W33</f>
        <v>814.79200000000003</v>
      </c>
      <c r="X6" s="313">
        <f>'4_Prowizyjny_F&amp;C'!X33</f>
        <v>705.41499999999996</v>
      </c>
      <c r="Y6" s="313">
        <f>'4_Prowizyjny_F&amp;C'!Y33</f>
        <v>783.61400000000003</v>
      </c>
      <c r="Z6" s="313">
        <f>'4_Prowizyjny_F&amp;C'!Z33</f>
        <v>726.76099999999997</v>
      </c>
      <c r="AA6" s="313">
        <f>'4_Prowizyjny_F&amp;C'!AA33</f>
        <v>717.71600000000001</v>
      </c>
      <c r="AB6" s="313">
        <f>'4_Prowizyjny_F&amp;C'!AB33</f>
        <v>679.15</v>
      </c>
      <c r="AC6" s="313">
        <f>'4_Prowizyjny_F&amp;C'!AC33</f>
        <v>757.38199999999995</v>
      </c>
      <c r="AD6" s="313">
        <f>'4_Prowizyjny_F&amp;C'!AD33</f>
        <v>720.548</v>
      </c>
      <c r="AE6" s="313">
        <f>'4_Prowizyjny_F&amp;C'!AE33</f>
        <v>693.548</v>
      </c>
      <c r="AF6" s="313">
        <f>'4_Prowizyjny_F&amp;C'!AF33</f>
        <v>635.44500000000005</v>
      </c>
      <c r="AG6" s="313">
        <f>'4_Prowizyjny_F&amp;C'!AG33</f>
        <v>666.57100000000003</v>
      </c>
      <c r="AH6" s="313">
        <f>'4_Prowizyjny_F&amp;C'!AH33</f>
        <v>686.26900000000001</v>
      </c>
      <c r="AI6" s="313">
        <f>'4_Prowizyjny_F&amp;C'!AI33</f>
        <v>705.11499999999955</v>
      </c>
      <c r="AJ6" s="313">
        <f>'4_Prowizyjny_F&amp;C'!AJ33</f>
        <v>710</v>
      </c>
      <c r="AK6" s="313">
        <f>'4_Prowizyjny_F&amp;C'!AK33</f>
        <v>0</v>
      </c>
      <c r="AL6" s="313">
        <f>'4_Prowizyjny_F&amp;C'!AL33</f>
        <v>766</v>
      </c>
      <c r="AM6" s="313">
        <f>'4_Prowizyjny_F&amp;C'!AM33</f>
        <v>760</v>
      </c>
      <c r="AN6" s="313">
        <f>'4_Prowizyjny_F&amp;C'!AN33</f>
        <v>737</v>
      </c>
      <c r="AO6" s="313">
        <f>'4_Prowizyjny_F&amp;C'!AO33</f>
        <v>745</v>
      </c>
      <c r="AP6" s="313">
        <f>'4_Prowizyjny_F&amp;C'!AP33</f>
        <v>760</v>
      </c>
      <c r="AQ6" s="313">
        <f>'4_Prowizyjny_F&amp;C'!AQ33</f>
        <v>771</v>
      </c>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row>
    <row r="7" spans="1:90" s="139" customFormat="1" ht="15.95" customHeight="1">
      <c r="A7" s="311" t="s">
        <v>15</v>
      </c>
      <c r="B7" s="312" t="s">
        <v>157</v>
      </c>
      <c r="C7" s="312"/>
      <c r="D7" s="315">
        <f>'7_Odpisy_Impairments'!D10</f>
        <v>-373.62200000000001</v>
      </c>
      <c r="E7" s="315">
        <f>'7_Odpisy_Impairments'!E10</f>
        <v>-390.459</v>
      </c>
      <c r="F7" s="315">
        <f>'7_Odpisy_Impairments'!F10</f>
        <v>-364.18400000000003</v>
      </c>
      <c r="G7" s="315">
        <f>'7_Odpisy_Impairments'!G10</f>
        <v>-552.80999999999995</v>
      </c>
      <c r="H7" s="315">
        <f>'7_Odpisy_Impairments'!H10</f>
        <v>-425.13299999999998</v>
      </c>
      <c r="I7" s="315">
        <f>'7_Odpisy_Impairments'!I10</f>
        <v>-458.15100000000001</v>
      </c>
      <c r="J7" s="315">
        <f>'7_Odpisy_Impairments'!J10</f>
        <v>-558.65299999999979</v>
      </c>
      <c r="K7" s="315">
        <f>'7_Odpisy_Impairments'!K10</f>
        <v>-426.42700000000019</v>
      </c>
      <c r="L7" s="315">
        <f>'7_Odpisy_Impairments'!L10</f>
        <v>-438.40800000000002</v>
      </c>
      <c r="M7" s="315">
        <f>'7_Odpisy_Impairments'!M10</f>
        <v>-442.99199999999996</v>
      </c>
      <c r="N7" s="315">
        <f>'7_Odpisy_Impairments'!N10</f>
        <v>-487.73599999999999</v>
      </c>
      <c r="O7" s="315">
        <f>'7_Odpisy_Impairments'!O10</f>
        <v>-561.31099999999981</v>
      </c>
      <c r="P7" s="315">
        <f>'7_Odpisy_Impairments'!P10</f>
        <v>-527.52599999999995</v>
      </c>
      <c r="Q7" s="315">
        <f>'7_Odpisy_Impairments'!Q10</f>
        <v>-573.75900000000013</v>
      </c>
      <c r="R7" s="315">
        <f>'7_Odpisy_Impairments'!R10</f>
        <v>-657.62699999999984</v>
      </c>
      <c r="S7" s="315">
        <f>'7_Odpisy_Impairments'!S10</f>
        <v>-566.31600000000014</v>
      </c>
      <c r="T7" s="315">
        <f>'7_Odpisy_Impairments'!T10</f>
        <v>-447.983</v>
      </c>
      <c r="U7" s="315">
        <f>'7_Odpisy_Impairments'!U10</f>
        <v>-418.93599999999998</v>
      </c>
      <c r="V7" s="315">
        <f>'7_Odpisy_Impairments'!V10</f>
        <v>-487.76300000000009</v>
      </c>
      <c r="W7" s="315">
        <f>'7_Odpisy_Impairments'!W10</f>
        <v>-683.19900000000007</v>
      </c>
      <c r="X7" s="315">
        <f>'7_Odpisy_Impairments'!X10</f>
        <v>-413.45800000000003</v>
      </c>
      <c r="Y7" s="315">
        <f>'7_Odpisy_Impairments'!Y10</f>
        <v>-557.68299999999999</v>
      </c>
      <c r="Z7" s="315">
        <f>'7_Odpisy_Impairments'!Z10</f>
        <v>-475.20899999999989</v>
      </c>
      <c r="AA7" s="315">
        <f>'7_Odpisy_Impairments'!AA10</f>
        <v>-452.32000000000022</v>
      </c>
      <c r="AB7" s="315">
        <f>'7_Odpisy_Impairments'!AB10</f>
        <v>-373.57900000000001</v>
      </c>
      <c r="AC7" s="315">
        <f>'7_Odpisy_Impairments'!AC10</f>
        <v>-375.07</v>
      </c>
      <c r="AD7" s="315">
        <f>'7_Odpisy_Impairments'!AD10</f>
        <v>-362.31599999999997</v>
      </c>
      <c r="AE7" s="315">
        <f>'7_Odpisy_Impairments'!AE10</f>
        <v>-364.93500000000012</v>
      </c>
      <c r="AF7" s="315">
        <f>'7_Odpisy_Impairments'!AF10</f>
        <v>-382.166</v>
      </c>
      <c r="AG7" s="315">
        <f>'7_Odpisy_Impairments'!AG10</f>
        <v>-400.20200000000006</v>
      </c>
      <c r="AH7" s="315">
        <f>'7_Odpisy_Impairments'!AH10</f>
        <v>-419</v>
      </c>
      <c r="AI7" s="315">
        <f>'7_Odpisy_Impairments'!AI10</f>
        <v>-421.33200000000005</v>
      </c>
      <c r="AJ7" s="315">
        <f>'7_Odpisy_Impairments'!AJ10</f>
        <v>-394</v>
      </c>
      <c r="AK7" s="315">
        <f>'7_Odpisy_Impairments'!AK10</f>
        <v>-393</v>
      </c>
      <c r="AL7" s="315">
        <f>'7_Odpisy_Impairments'!AL10</f>
        <v>-392</v>
      </c>
      <c r="AM7" s="315">
        <f>'7_Odpisy_Impairments'!AM10</f>
        <v>-438</v>
      </c>
      <c r="AN7" s="315">
        <f>'7_Odpisy_Impairments'!AN10</f>
        <v>-333</v>
      </c>
      <c r="AO7" s="315">
        <f>'7_Odpisy_Impairments'!AO10</f>
        <v>-377</v>
      </c>
      <c r="AP7" s="315">
        <f>'7_Odpisy_Impairments'!AP10</f>
        <v>-328</v>
      </c>
      <c r="AQ7" s="316">
        <f>'7_Odpisy_Impairments'!AQ10</f>
        <v>-412.6</v>
      </c>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row>
    <row r="8" spans="1:90" s="139" customFormat="1" ht="15.95" customHeight="1">
      <c r="A8" s="311" t="s">
        <v>16</v>
      </c>
      <c r="B8" s="312" t="s">
        <v>155</v>
      </c>
      <c r="C8" s="312"/>
      <c r="D8" s="313">
        <f>'5_Koszty adm_Adm expenses'!D13</f>
        <v>-1082</v>
      </c>
      <c r="E8" s="313">
        <f>'5_Koszty adm_Adm expenses'!E13</f>
        <v>-994</v>
      </c>
      <c r="F8" s="313">
        <f>'5_Koszty adm_Adm expenses'!F13</f>
        <v>-1029</v>
      </c>
      <c r="G8" s="313">
        <f>'5_Koszty adm_Adm expenses'!G13</f>
        <v>-1140</v>
      </c>
      <c r="H8" s="313">
        <f>'5_Koszty adm_Adm expenses'!H13</f>
        <v>-1014</v>
      </c>
      <c r="I8" s="313">
        <f>'5_Koszty adm_Adm expenses'!I13</f>
        <v>-1021.0129999999999</v>
      </c>
      <c r="J8" s="313">
        <f>'5_Koszty adm_Adm expenses'!J13</f>
        <v>-1057</v>
      </c>
      <c r="K8" s="313">
        <f>'5_Koszty adm_Adm expenses'!K13</f>
        <v>-1157.1230000000005</v>
      </c>
      <c r="L8" s="313">
        <f>'5_Koszty adm_Adm expenses'!L13</f>
        <v>-1054</v>
      </c>
      <c r="M8" s="313">
        <f>'5_Koszty adm_Adm expenses'!M13</f>
        <v>-1069</v>
      </c>
      <c r="N8" s="313">
        <f>'5_Koszty adm_Adm expenses'!N13</f>
        <v>-1103</v>
      </c>
      <c r="O8" s="313">
        <f>'5_Koszty adm_Adm expenses'!O13</f>
        <v>-1185</v>
      </c>
      <c r="P8" s="313">
        <f>'5_Koszty adm_Adm expenses'!P13</f>
        <v>-1152</v>
      </c>
      <c r="Q8" s="313">
        <f>'5_Koszty adm_Adm expenses'!Q13</f>
        <v>-1094</v>
      </c>
      <c r="R8" s="313">
        <f>'5_Koszty adm_Adm expenses'!R13</f>
        <v>-1131</v>
      </c>
      <c r="S8" s="313">
        <f>'5_Koszty adm_Adm expenses'!S13</f>
        <v>-1305</v>
      </c>
      <c r="T8" s="313">
        <f>'5_Koszty adm_Adm expenses'!T13</f>
        <v>-1120</v>
      </c>
      <c r="U8" s="313">
        <f>'5_Koszty adm_Adm expenses'!U13</f>
        <v>-1106</v>
      </c>
      <c r="V8" s="313">
        <f>'5_Koszty adm_Adm expenses'!V13</f>
        <v>-1116</v>
      </c>
      <c r="W8" s="313">
        <f>'5_Koszty adm_Adm expenses'!W13</f>
        <v>-1281</v>
      </c>
      <c r="X8" s="313">
        <f>'5_Koszty adm_Adm expenses'!X13</f>
        <v>-1126</v>
      </c>
      <c r="Y8" s="313">
        <f>'5_Koszty adm_Adm expenses'!Y13</f>
        <v>-1343</v>
      </c>
      <c r="Z8" s="313">
        <f>'5_Koszty adm_Adm expenses'!Z13</f>
        <v>-1337</v>
      </c>
      <c r="AA8" s="313">
        <f>'5_Koszty adm_Adm expenses'!AA13</f>
        <v>-1439</v>
      </c>
      <c r="AB8" s="313">
        <f>'5_Koszty adm_Adm expenses'!AB13</f>
        <v>-1405</v>
      </c>
      <c r="AC8" s="313">
        <f>'5_Koszty adm_Adm expenses'!AC13</f>
        <v>-1372</v>
      </c>
      <c r="AD8" s="313">
        <f>'5_Koszty adm_Adm expenses'!AD13</f>
        <v>-1335</v>
      </c>
      <c r="AE8" s="313">
        <f>'5_Koszty adm_Adm expenses'!AE13</f>
        <v>-1923</v>
      </c>
      <c r="AF8" s="313">
        <f>'5_Koszty adm_Adm expenses'!AF13</f>
        <v>-1360</v>
      </c>
      <c r="AG8" s="313">
        <f>'5_Koszty adm_Adm expenses'!AG13</f>
        <v>-1397</v>
      </c>
      <c r="AH8" s="313">
        <f>'5_Koszty adm_Adm expenses'!AH13</f>
        <v>-1377</v>
      </c>
      <c r="AI8" s="313">
        <f>'5_Koszty adm_Adm expenses'!AI13</f>
        <v>-1456</v>
      </c>
      <c r="AJ8" s="313">
        <f>'5_Koszty adm_Adm expenses'!AJ13</f>
        <v>-1563</v>
      </c>
      <c r="AK8" s="313">
        <f>'5_Koszty adm_Adm expenses'!AK13</f>
        <v>-1375</v>
      </c>
      <c r="AL8" s="313">
        <f>'5_Koszty adm_Adm expenses'!AL13</f>
        <v>-1372</v>
      </c>
      <c r="AM8" s="313">
        <f>'5_Koszty adm_Adm expenses'!AM13</f>
        <v>-1474</v>
      </c>
      <c r="AN8" s="313">
        <f>'5_Koszty adm_Adm expenses'!AN13</f>
        <v>-1579</v>
      </c>
      <c r="AO8" s="313">
        <f>'5_Koszty adm_Adm expenses'!AO13</f>
        <v>-1438</v>
      </c>
      <c r="AP8" s="313">
        <f>'5_Koszty adm_Adm expenses'!AP13</f>
        <v>-1441</v>
      </c>
      <c r="AQ8" s="313">
        <f>'5_Koszty adm_Adm expenses'!AQ13</f>
        <v>-1447</v>
      </c>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row>
    <row r="9" spans="1:90" s="139" customFormat="1" ht="15.95" customHeight="1">
      <c r="A9" s="311" t="s">
        <v>23</v>
      </c>
      <c r="B9" s="312" t="s">
        <v>156</v>
      </c>
      <c r="C9" s="312"/>
      <c r="D9" s="313">
        <f>'2_RZiS_P&amp;L'!D29</f>
        <v>540.68499999999995</v>
      </c>
      <c r="E9" s="313">
        <f>'2_RZiS_P&amp;L'!E29</f>
        <v>609.87300000000005</v>
      </c>
      <c r="F9" s="313">
        <f>'2_RZiS_P&amp;L'!F29</f>
        <v>638.53099999999995</v>
      </c>
      <c r="G9" s="313">
        <f>'2_RZiS_P&amp;L'!G29</f>
        <v>516.44899999999996</v>
      </c>
      <c r="H9" s="313">
        <f>'2_RZiS_P&amp;L'!H29</f>
        <v>719.98900000000003</v>
      </c>
      <c r="I9" s="313">
        <f>'2_RZiS_P&amp;L'!I29</f>
        <v>782.34799999999996</v>
      </c>
      <c r="J9" s="313">
        <f>'2_RZiS_P&amp;L'!J29</f>
        <v>846.85</v>
      </c>
      <c r="K9" s="313">
        <f>'2_RZiS_P&amp;L'!K29</f>
        <v>867.69600000000003</v>
      </c>
      <c r="L9" s="313">
        <f>'2_RZiS_P&amp;L'!L29</f>
        <v>871.01599999999996</v>
      </c>
      <c r="M9" s="313">
        <f>'2_RZiS_P&amp;L'!M29</f>
        <v>967.298</v>
      </c>
      <c r="N9" s="313">
        <f>'2_RZiS_P&amp;L'!N29</f>
        <v>1017.025</v>
      </c>
      <c r="O9" s="313">
        <f>'2_RZiS_P&amp;L'!O29</f>
        <v>951.85599999999999</v>
      </c>
      <c r="P9" s="313">
        <f>'2_RZiS_P&amp;L'!P29</f>
        <v>1016.6</v>
      </c>
      <c r="Q9" s="313">
        <f>'2_RZiS_P&amp;L'!Q29</f>
        <v>961.7589999999999</v>
      </c>
      <c r="R9" s="313">
        <f>'2_RZiS_P&amp;L'!R29</f>
        <v>929.94799999999998</v>
      </c>
      <c r="S9" s="313">
        <f>'2_RZiS_P&amp;L'!S29</f>
        <v>830.17100000000005</v>
      </c>
      <c r="T9" s="313">
        <f>'2_RZiS_P&amp;L'!T29</f>
        <v>786.42200000000003</v>
      </c>
      <c r="U9" s="313">
        <f>'2_RZiS_P&amp;L'!U29</f>
        <v>752.80899999999997</v>
      </c>
      <c r="V9" s="313">
        <f>'2_RZiS_P&amp;L'!V29</f>
        <v>752.29600000000005</v>
      </c>
      <c r="W9" s="313">
        <f>'2_RZiS_P&amp;L'!W29</f>
        <v>938.31799999999998</v>
      </c>
      <c r="X9" s="313">
        <f>'2_RZiS_P&amp;L'!X29</f>
        <v>802.57399999999996</v>
      </c>
      <c r="Y9" s="313">
        <f>'2_RZiS_P&amp;L'!Y29</f>
        <v>855.55399999999997</v>
      </c>
      <c r="Z9" s="313">
        <f>'2_RZiS_P&amp;L'!Z29</f>
        <v>873.375</v>
      </c>
      <c r="AA9" s="313">
        <f>'2_RZiS_P&amp;L'!AA29</f>
        <v>722.61900000000003</v>
      </c>
      <c r="AB9" s="313">
        <f>'2_RZiS_P&amp;L'!AB29</f>
        <v>647.18100000000004</v>
      </c>
      <c r="AC9" s="313">
        <f>'2_RZiS_P&amp;L'!AC29</f>
        <v>702.87800000000004</v>
      </c>
      <c r="AD9" s="313">
        <f>'2_RZiS_P&amp;L'!AD29</f>
        <v>815.24800000000005</v>
      </c>
      <c r="AE9" s="313">
        <f>'2_RZiS_P&amp;L'!AE29</f>
        <v>444.25700000000001</v>
      </c>
      <c r="AF9" s="313">
        <f>'2_RZiS_P&amp;L'!AF29</f>
        <v>638.59</v>
      </c>
      <c r="AG9" s="313">
        <f>'2_RZiS_P&amp;L'!AG29</f>
        <v>873.54899999999998</v>
      </c>
      <c r="AH9" s="313">
        <f>'2_RZiS_P&amp;L'!AH29</f>
        <v>768.51599999999996</v>
      </c>
      <c r="AI9" s="313">
        <f>'2_RZiS_P&amp;L'!AI29</f>
        <v>593.34500000000128</v>
      </c>
      <c r="AJ9" s="313">
        <f>'2_RZiS_P&amp;L'!AJ29</f>
        <v>525</v>
      </c>
      <c r="AK9" s="313">
        <f>'2_RZiS_P&amp;L'!AK29</f>
        <v>857</v>
      </c>
      <c r="AL9" s="313">
        <f>'2_RZiS_P&amp;L'!AL29</f>
        <v>902</v>
      </c>
      <c r="AM9" s="313">
        <f>'2_RZiS_P&amp;L'!AM29</f>
        <v>820</v>
      </c>
      <c r="AN9" s="313">
        <f>'2_RZiS_P&amp;L'!AN29</f>
        <v>757</v>
      </c>
      <c r="AO9" s="313">
        <f>'2_RZiS_P&amp;L'!AO29</f>
        <v>933</v>
      </c>
      <c r="AP9" s="313">
        <f>'2_RZiS_P&amp;L'!AP29</f>
        <v>1042</v>
      </c>
      <c r="AQ9" s="314">
        <f>'2_RZiS_P&amp;L'!AQ29</f>
        <v>1009</v>
      </c>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row>
    <row r="10" spans="1:90" s="139" customFormat="1" ht="15.95" customHeight="1">
      <c r="A10" s="317" t="s">
        <v>118</v>
      </c>
      <c r="B10" s="318" t="s">
        <v>151</v>
      </c>
      <c r="C10" s="318"/>
      <c r="D10" s="319">
        <f>'9a_Kredyty Loans_OLD'!D32</f>
        <v>106540.2</v>
      </c>
      <c r="E10" s="319">
        <f>'9a_Kredyty Loans_OLD'!E32</f>
        <v>107798.572</v>
      </c>
      <c r="F10" s="319">
        <f>'9a_Kredyty Loans_OLD'!F32</f>
        <v>111817</v>
      </c>
      <c r="G10" s="319">
        <f>'9a_Kredyty Loans_OLD'!G32</f>
        <v>116572.58500000001</v>
      </c>
      <c r="H10" s="319">
        <f>'9a_Kredyty Loans_OLD'!H32</f>
        <v>117892.444</v>
      </c>
      <c r="I10" s="319">
        <f>'9a_Kredyty Loans_OLD'!I32</f>
        <v>124665.467</v>
      </c>
      <c r="J10" s="319">
        <f>'9a_Kredyty Loans_OLD'!J32</f>
        <v>126715.1</v>
      </c>
      <c r="K10" s="319">
        <f>'9a_Kredyty Loans_OLD'!K32</f>
        <v>130668</v>
      </c>
      <c r="L10" s="319">
        <f>'9a_Kredyty Loans_OLD'!L32</f>
        <v>132419.804</v>
      </c>
      <c r="M10" s="319">
        <f>'9a_Kredyty Loans_OLD'!M32</f>
        <v>135680.43900000001</v>
      </c>
      <c r="N10" s="319">
        <f>'9a_Kredyty Loans_OLD'!N32</f>
        <v>139695.28099999999</v>
      </c>
      <c r="O10" s="319">
        <f>'9a_Kredyty Loans_OLD'!O32</f>
        <v>141634.49400000001</v>
      </c>
      <c r="P10" s="319">
        <f>'9a_Kredyty Loans_OLD'!P32</f>
        <v>140563</v>
      </c>
      <c r="Q10" s="319">
        <f>'9a_Kredyty Loans_OLD'!Q32</f>
        <v>140943</v>
      </c>
      <c r="R10" s="319">
        <f>'9a_Kredyty Loans_OLD'!R32</f>
        <v>142315</v>
      </c>
      <c r="S10" s="319">
        <f>'9a_Kredyty Loans_OLD'!S32</f>
        <v>143483.06599999999</v>
      </c>
      <c r="T10" s="319">
        <f>'9a_Kredyty Loans_OLD'!T32</f>
        <v>147089.10999999999</v>
      </c>
      <c r="U10" s="319">
        <f>'9a_Kredyty Loans_OLD'!U32</f>
        <v>148684.44500000001</v>
      </c>
      <c r="V10" s="319">
        <f>'9a_Kredyty Loans_OLD'!V32</f>
        <v>149611.33499999999</v>
      </c>
      <c r="W10" s="319">
        <f>'9a_Kredyty Loans_OLD'!W32</f>
        <v>149623</v>
      </c>
      <c r="X10" s="319">
        <f>'9a_Kredyty Loans_OLD'!X32</f>
        <v>149660.86499999999</v>
      </c>
      <c r="Y10" s="319">
        <f>'9a_Kredyty Loans_OLD'!Y32</f>
        <v>177993.959</v>
      </c>
      <c r="Z10" s="319">
        <f>'9a_Kredyty Loans_OLD'!Z32</f>
        <v>178333.3</v>
      </c>
      <c r="AA10" s="319">
        <f>'9a_Kredyty Loans_OLD'!AA32</f>
        <v>179497.38399999999</v>
      </c>
      <c r="AB10" s="319">
        <f>'9a_Kredyty Loans_OLD'!AB32</f>
        <v>182440.40599999999</v>
      </c>
      <c r="AC10" s="319">
        <f>'9a_Kredyty Loans_OLD'!AC32</f>
        <v>185336</v>
      </c>
      <c r="AD10" s="319">
        <f>'9a_Kredyty Loans_OLD'!AD32</f>
        <v>185193.11499999999</v>
      </c>
      <c r="AE10" s="319">
        <f>'9a_Kredyty Loans_OLD'!AE32</f>
        <v>190414</v>
      </c>
      <c r="AF10" s="319">
        <f>'9a_Kredyty Loans_OLD'!AF32</f>
        <v>187869.10699999999</v>
      </c>
      <c r="AG10" s="319">
        <f>'9a_Kredyty Loans_OLD'!AG32</f>
        <v>191515.372</v>
      </c>
      <c r="AH10" s="319">
        <f>'9a_Kredyty Loans_OLD'!AH32</f>
        <v>193174.34299999999</v>
      </c>
      <c r="AI10" s="319">
        <f>'9a_Kredyty Loans_OLD'!AI32</f>
        <v>200606</v>
      </c>
      <c r="AJ10" s="319">
        <f>'9a_Kredyty Loans_OLD'!AJ32</f>
        <v>200579</v>
      </c>
      <c r="AK10" s="319">
        <f>'9a_Kredyty Loans_OLD'!AK32</f>
        <v>204620</v>
      </c>
      <c r="AL10" s="319">
        <f>'9a_Kredyty Loans_OLD'!AL32</f>
        <v>205809</v>
      </c>
      <c r="AM10" s="319">
        <f>'9a_Kredyty Loans_OLD'!AM32</f>
        <v>205629</v>
      </c>
      <c r="AN10" s="319">
        <f>'9_Kredyty_Loans'!AN21</f>
        <v>202788</v>
      </c>
      <c r="AO10" s="319">
        <f>'9_Kredyty_Loans'!AO21</f>
        <v>207593</v>
      </c>
      <c r="AP10" s="319">
        <f>'9_Kredyty_Loans'!AP21</f>
        <v>211633</v>
      </c>
      <c r="AQ10" s="319">
        <f>'9_Kredyty_Loans'!AQ21</f>
        <v>214912</v>
      </c>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row>
    <row r="11" spans="1:90" s="139" customFormat="1" ht="15.95" customHeight="1">
      <c r="A11" s="317" t="s">
        <v>104</v>
      </c>
      <c r="B11" s="318" t="s">
        <v>152</v>
      </c>
      <c r="C11" s="318"/>
      <c r="D11" s="319">
        <f>'11a_Depozyty Deposits_OLD'!D22</f>
        <v>110372.15700000001</v>
      </c>
      <c r="E11" s="319">
        <f>'11a_Depozyty Deposits_OLD'!E22</f>
        <v>114115.689</v>
      </c>
      <c r="F11" s="319">
        <f>'11a_Depozyty Deposits_OLD'!F22</f>
        <v>117887.618</v>
      </c>
      <c r="G11" s="319">
        <f>'11a_Depozyty Deposits_OLD'!G22</f>
        <v>125072.93399999999</v>
      </c>
      <c r="H11" s="319">
        <f>'11a_Depozyty Deposits_OLD'!H22</f>
        <v>122950.72500000001</v>
      </c>
      <c r="I11" s="319">
        <f>'11a_Depozyty Deposits_OLD'!I22</f>
        <v>129259.485</v>
      </c>
      <c r="J11" s="319">
        <f>'11a_Depozyty Deposits_OLD'!J22</f>
        <v>131631.37</v>
      </c>
      <c r="K11" s="319">
        <f>'11a_Depozyty Deposits_OLD'!K22</f>
        <v>132981.215</v>
      </c>
      <c r="L11" s="319">
        <f>'11a_Depozyty Deposits_OLD'!L22</f>
        <v>135565.28899999999</v>
      </c>
      <c r="M11" s="319">
        <f>'11a_Depozyty Deposits_OLD'!M22</f>
        <v>139093.383</v>
      </c>
      <c r="N11" s="319">
        <f>'11a_Depozyty Deposits_OLD'!N22</f>
        <v>143952.05600000001</v>
      </c>
      <c r="O11" s="319">
        <f>'11a_Depozyty Deposits_OLD'!O22</f>
        <v>146473.897</v>
      </c>
      <c r="P11" s="319">
        <f>'11a_Depozyty Deposits_OLD'!P22</f>
        <v>144202.35200000001</v>
      </c>
      <c r="Q11" s="319">
        <f>'11a_Depozyty Deposits_OLD'!Q22</f>
        <v>146986.505</v>
      </c>
      <c r="R11" s="319">
        <f>'11a_Depozyty Deposits_OLD'!R22</f>
        <v>145444.28700000001</v>
      </c>
      <c r="S11" s="319">
        <f>'11a_Depozyty Deposits_OLD'!S22</f>
        <v>146193.57</v>
      </c>
      <c r="T11" s="319">
        <f>'11a_Depozyty Deposits_OLD'!T22</f>
        <v>148446.14499999999</v>
      </c>
      <c r="U11" s="319">
        <f>'11a_Depozyty Deposits_OLD'!U22</f>
        <v>149242.633</v>
      </c>
      <c r="V11" s="319">
        <f>'11a_Depozyty Deposits_OLD'!V22</f>
        <v>150857.21</v>
      </c>
      <c r="W11" s="319">
        <f>'11a_Depozyty Deposits_OLD'!W22</f>
        <v>151904</v>
      </c>
      <c r="X11" s="319">
        <f>'11a_Depozyty Deposits_OLD'!X22</f>
        <v>152672.685</v>
      </c>
      <c r="Y11" s="319">
        <f>'11a_Depozyty Deposits_OLD'!Y22</f>
        <v>171378.386</v>
      </c>
      <c r="Z11" s="319">
        <f>'11a_Depozyty Deposits_OLD'!Z22</f>
        <v>171173.601</v>
      </c>
      <c r="AA11" s="319">
        <f>'11a_Depozyty Deposits_OLD'!AA22</f>
        <v>174386.766</v>
      </c>
      <c r="AB11" s="319">
        <f>'11a_Depozyty Deposits_OLD'!AB22</f>
        <v>178367.476</v>
      </c>
      <c r="AC11" s="319">
        <f>'11a_Depozyty Deposits_OLD'!AC22</f>
        <v>179137.77799999999</v>
      </c>
      <c r="AD11" s="319">
        <f>'11a_Depozyty Deposits_OLD'!AD22</f>
        <v>178256.829</v>
      </c>
      <c r="AE11" s="319">
        <f>'11a_Depozyty Deposits_OLD'!AE22</f>
        <v>195758.46100000001</v>
      </c>
      <c r="AF11" s="319">
        <f>'11a_Depozyty Deposits_OLD'!AF22</f>
        <v>194856.15299999999</v>
      </c>
      <c r="AG11" s="319">
        <f>'11a_Depozyty Deposits_OLD'!AG22</f>
        <v>199391.53200000001</v>
      </c>
      <c r="AH11" s="319">
        <f>'11a_Depozyty Deposits_OLD'!AH22</f>
        <v>201180.557</v>
      </c>
      <c r="AI11" s="319">
        <f>'11a_Depozyty Deposits_OLD'!AI22</f>
        <v>205066</v>
      </c>
      <c r="AJ11" s="319">
        <f>'11a_Depozyty Deposits_OLD'!AJ22</f>
        <v>207116</v>
      </c>
      <c r="AK11" s="319">
        <f>'11a_Depozyty Deposits_OLD'!AK22</f>
        <v>207248</v>
      </c>
      <c r="AL11" s="319">
        <f>'11a_Depozyty Deposits_OLD'!AL22</f>
        <v>209683</v>
      </c>
      <c r="AM11" s="319">
        <f>'11a_Depozyty Deposits_OLD'!AM22</f>
        <v>220917</v>
      </c>
      <c r="AN11" s="319">
        <f>'11a_Depozyty Deposits_OLD'!AN22</f>
        <v>218715</v>
      </c>
      <c r="AO11" s="319">
        <f>'11a_Depozyty Deposits_OLD'!AO22</f>
        <v>219208</v>
      </c>
      <c r="AP11" s="319">
        <f>'11a_Depozyty Deposits_OLD'!AP22</f>
        <v>225617</v>
      </c>
      <c r="AQ11" s="320">
        <f>'11a_Depozyty Deposits_OLD'!AQ22</f>
        <v>242816</v>
      </c>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row>
    <row r="12" spans="1:90" s="139" customFormat="1" ht="15.95" customHeight="1">
      <c r="A12" s="311" t="s">
        <v>105</v>
      </c>
      <c r="B12" s="312" t="s">
        <v>153</v>
      </c>
      <c r="C12" s="312"/>
      <c r="D12" s="313">
        <f>'8_Bilans_Balance sheet'!D38</f>
        <v>139388.45300000001</v>
      </c>
      <c r="E12" s="313">
        <f>'8_Bilans_Balance sheet'!E38</f>
        <v>142258.51199999999</v>
      </c>
      <c r="F12" s="313">
        <f>'8_Bilans_Balance sheet'!F38</f>
        <v>146579.427</v>
      </c>
      <c r="G12" s="313">
        <f>'8_Bilans_Balance sheet'!G38</f>
        <v>156478.685</v>
      </c>
      <c r="H12" s="313">
        <f>'8_Bilans_Balance sheet'!H38</f>
        <v>156695.77499999999</v>
      </c>
      <c r="I12" s="313">
        <f>'8_Bilans_Balance sheet'!I38</f>
        <v>165699.34400000001</v>
      </c>
      <c r="J12" s="313">
        <f>'8_Bilans_Balance sheet'!J38</f>
        <v>166859.15900000001</v>
      </c>
      <c r="K12" s="313">
        <f>'8_Bilans_Balance sheet'!K38</f>
        <v>169660.50099999999</v>
      </c>
      <c r="L12" s="313">
        <f>'8_Bilans_Balance sheet'!L38</f>
        <v>172693.579</v>
      </c>
      <c r="M12" s="313">
        <f>'8_Bilans_Balance sheet'!M38</f>
        <v>178701.86</v>
      </c>
      <c r="N12" s="313">
        <f>'8_Bilans_Balance sheet'!N38</f>
        <v>186996.94</v>
      </c>
      <c r="O12" s="313">
        <f>'8_Bilans_Balance sheet'!O38</f>
        <v>190748.03700000001</v>
      </c>
      <c r="P12" s="313">
        <f>'8_Bilans_Balance sheet'!P38</f>
        <v>189419.296</v>
      </c>
      <c r="Q12" s="313">
        <f>'8_Bilans_Balance sheet'!Q38</f>
        <v>190117.72099999999</v>
      </c>
      <c r="R12" s="313">
        <f>'8_Bilans_Balance sheet'!R38</f>
        <v>192922.372</v>
      </c>
      <c r="S12" s="313">
        <f>'8_Bilans_Balance sheet'!S38</f>
        <v>193150.67499999999</v>
      </c>
      <c r="T12" s="313">
        <f>'8_Bilans_Balance sheet'!T38</f>
        <v>196793.12400000001</v>
      </c>
      <c r="U12" s="313">
        <f>'8_Bilans_Balance sheet'!U38</f>
        <v>197865.47200000001</v>
      </c>
      <c r="V12" s="313">
        <f>'8_Bilans_Balance sheet'!V38</f>
        <v>201251.35699999999</v>
      </c>
      <c r="W12" s="313">
        <f>'8_Bilans_Balance sheet'!W38</f>
        <v>199231.11</v>
      </c>
      <c r="X12" s="313">
        <f>'8_Bilans_Balance sheet'!X38</f>
        <v>203151.99</v>
      </c>
      <c r="Y12" s="313">
        <f>'8_Bilans_Balance sheet'!Y38</f>
        <v>242289.427</v>
      </c>
      <c r="Z12" s="313">
        <f>'8_Bilans_Balance sheet'!Z38</f>
        <v>244446.95800000001</v>
      </c>
      <c r="AA12" s="313">
        <f>'8_Bilans_Balance sheet'!AA38</f>
        <v>248700.58900000001</v>
      </c>
      <c r="AB12" s="313">
        <f>'8_Bilans_Balance sheet'!AB38</f>
        <v>256583.92600000001</v>
      </c>
      <c r="AC12" s="313">
        <f>'8_Bilans_Balance sheet'!AC38</f>
        <v>255523.62700000001</v>
      </c>
      <c r="AD12" s="313">
        <f>'8_Bilans_Balance sheet'!AD38</f>
        <v>254920.43</v>
      </c>
      <c r="AE12" s="313">
        <f>'8_Bilans_Balance sheet'!AE38</f>
        <v>266939.91899999999</v>
      </c>
      <c r="AF12" s="313">
        <f>'8_Bilans_Balance sheet'!AF38</f>
        <v>267090.76799999998</v>
      </c>
      <c r="AG12" s="313">
        <f>'8_Bilans_Balance sheet'!AG38</f>
        <v>272442.08899999998</v>
      </c>
      <c r="AH12" s="313">
        <f>'8_Bilans_Balance sheet'!AH38</f>
        <v>275607.78999999998</v>
      </c>
      <c r="AI12" s="313">
        <f>'8_Bilans_Balance sheet'!AI38</f>
        <v>285572</v>
      </c>
      <c r="AJ12" s="313">
        <f>'8_Bilans_Balance sheet'!AJ38</f>
        <v>288516</v>
      </c>
      <c r="AK12" s="313">
        <f>'8_Bilans_Balance sheet'!AK38</f>
        <v>286389</v>
      </c>
      <c r="AL12" s="313">
        <f>'8_Bilans_Balance sheet'!AL38</f>
        <v>289961</v>
      </c>
      <c r="AM12" s="313">
        <f>'8_Bilans_Balance sheet'!AM38</f>
        <v>296912</v>
      </c>
      <c r="AN12" s="313">
        <f>'8_Bilans_Balance sheet'!AN38</f>
        <v>295095</v>
      </c>
      <c r="AO12" s="313">
        <f>'8_Bilans_Balance sheet'!AO38</f>
        <v>298667</v>
      </c>
      <c r="AP12" s="313">
        <f>'8_Bilans_Balance sheet'!AP38</f>
        <v>306082</v>
      </c>
      <c r="AQ12" s="314">
        <f>'8_Bilans_Balance sheet'!AQ38</f>
        <v>324255</v>
      </c>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row>
    <row r="13" spans="1:90" s="139" customFormat="1" ht="15.95" customHeight="1">
      <c r="A13" s="317" t="s">
        <v>106</v>
      </c>
      <c r="B13" s="318" t="s">
        <v>154</v>
      </c>
      <c r="C13" s="318"/>
      <c r="D13" s="319">
        <f>'8_Bilans_Balance sheet'!D66</f>
        <v>14538.601000000001</v>
      </c>
      <c r="E13" s="319">
        <f>'8_Bilans_Balance sheet'!E66</f>
        <v>14320.91</v>
      </c>
      <c r="F13" s="319">
        <f>'8_Bilans_Balance sheet'!F66</f>
        <v>14814.135</v>
      </c>
      <c r="G13" s="319">
        <f>'8_Bilans_Balance sheet'!G66</f>
        <v>20435.87</v>
      </c>
      <c r="H13" s="319">
        <f>'8_Bilans_Balance sheet'!H66</f>
        <v>21180.902999999998</v>
      </c>
      <c r="I13" s="319">
        <f>'8_Bilans_Balance sheet'!I66</f>
        <v>22148.621999999999</v>
      </c>
      <c r="J13" s="319">
        <f>'8_Bilans_Balance sheet'!J66</f>
        <v>22830.946</v>
      </c>
      <c r="K13" s="319">
        <f>'8_Bilans_Balance sheet'!K66</f>
        <v>21359.567999999999</v>
      </c>
      <c r="L13" s="319">
        <f>'8_Bilans_Balance sheet'!L66</f>
        <v>22059.303</v>
      </c>
      <c r="M13" s="319">
        <f>'8_Bilans_Balance sheet'!M66</f>
        <v>20641.935000000001</v>
      </c>
      <c r="N13" s="319">
        <f>'8_Bilans_Balance sheet'!N66</f>
        <v>21947.62</v>
      </c>
      <c r="O13" s="319">
        <f>'8_Bilans_Balance sheet'!O66</f>
        <v>22821.984</v>
      </c>
      <c r="P13" s="319">
        <f>'8_Bilans_Balance sheet'!P66</f>
        <v>23327.578000000001</v>
      </c>
      <c r="Q13" s="319">
        <f>'8_Bilans_Balance sheet'!Q66</f>
        <v>22719.600999999999</v>
      </c>
      <c r="R13" s="319">
        <f>'8_Bilans_Balance sheet'!R66</f>
        <v>23490.827000000001</v>
      </c>
      <c r="S13" s="319">
        <f>'8_Bilans_Balance sheet'!S66</f>
        <v>24436.407999999999</v>
      </c>
      <c r="T13" s="319">
        <f>'8_Bilans_Balance sheet'!T66</f>
        <v>25156.120999999999</v>
      </c>
      <c r="U13" s="319">
        <f>'8_Bilans_Balance sheet'!U66</f>
        <v>23399.306</v>
      </c>
      <c r="V13" s="319">
        <f>'8_Bilans_Balance sheet'!V66</f>
        <v>24183.137999999999</v>
      </c>
      <c r="W13" s="319">
        <f>'8_Bilans_Balance sheet'!W66</f>
        <v>25154.325000000001</v>
      </c>
      <c r="X13" s="319">
        <f>'8_Bilans_Balance sheet'!X66</f>
        <v>25938.905999999999</v>
      </c>
      <c r="Y13" s="319">
        <f>'8_Bilans_Balance sheet'!Y66</f>
        <v>26013.648000000001</v>
      </c>
      <c r="Z13" s="319">
        <f>'8_Bilans_Balance sheet'!Z66</f>
        <v>27002.262999999999</v>
      </c>
      <c r="AA13" s="319">
        <f>'8_Bilans_Balance sheet'!AA66</f>
        <v>27615.550999999999</v>
      </c>
      <c r="AB13" s="319">
        <f>'8_Bilans_Balance sheet'!AB66</f>
        <v>28264.835999999999</v>
      </c>
      <c r="AC13" s="319">
        <f>'8_Bilans_Balance sheet'!AC66</f>
        <v>28730.850999999999</v>
      </c>
      <c r="AD13" s="319">
        <f>'8_Bilans_Balance sheet'!AD66</f>
        <v>29577.503000000001</v>
      </c>
      <c r="AE13" s="319">
        <f>'8_Bilans_Balance sheet'!AE66</f>
        <v>30264.913</v>
      </c>
      <c r="AF13" s="319">
        <f>'8_Bilans_Balance sheet'!AF66</f>
        <v>31034.859</v>
      </c>
      <c r="AG13" s="319">
        <f>'8_Bilans_Balance sheet'!AG66</f>
        <v>31588.891</v>
      </c>
      <c r="AH13" s="319">
        <f>'8_Bilans_Balance sheet'!AH66</f>
        <v>32318.741999999998</v>
      </c>
      <c r="AI13" s="319">
        <f>'8_Bilans_Balance sheet'!AI66</f>
        <v>32568.6</v>
      </c>
      <c r="AJ13" s="319">
        <f>'8_Bilans_Balance sheet'!AJ66</f>
        <v>33336</v>
      </c>
      <c r="AK13" s="319">
        <f>'8_Bilans_Balance sheet'!AK66</f>
        <v>34340</v>
      </c>
      <c r="AL13" s="319">
        <f>'8_Bilans_Balance sheet'!AL66</f>
        <v>35340</v>
      </c>
      <c r="AM13" s="319">
        <f>'8_Bilans_Balance sheet'!AM66</f>
        <v>36256</v>
      </c>
      <c r="AN13" s="319">
        <f>'8_Bilans_Balance sheet'!AN66</f>
        <v>36557</v>
      </c>
      <c r="AO13" s="319">
        <f>'8_Bilans_Balance sheet'!AO66</f>
        <v>36776</v>
      </c>
      <c r="AP13" s="319">
        <f>'8_Bilans_Balance sheet'!AP66</f>
        <v>37713</v>
      </c>
      <c r="AQ13" s="320">
        <f>'8_Bilans_Balance sheet'!AQ66</f>
        <v>39101</v>
      </c>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row>
    <row r="14" spans="1:90" s="401" customFormat="1" ht="19.5" customHeight="1">
      <c r="A14" s="398"/>
      <c r="B14" s="398"/>
      <c r="C14" s="398"/>
      <c r="D14" s="398"/>
      <c r="E14" s="398"/>
      <c r="F14" s="398"/>
      <c r="G14" s="399"/>
      <c r="H14" s="399"/>
      <c r="I14" s="399"/>
      <c r="J14" s="399"/>
      <c r="K14" s="399"/>
      <c r="L14" s="399"/>
      <c r="M14" s="399"/>
      <c r="N14" s="399"/>
      <c r="O14" s="399"/>
      <c r="P14" s="399"/>
      <c r="Q14" s="399"/>
      <c r="R14" s="399"/>
      <c r="S14" s="400"/>
      <c r="T14" s="400"/>
      <c r="U14" s="400"/>
      <c r="V14" s="400"/>
      <c r="W14" s="400"/>
      <c r="X14" s="400"/>
    </row>
    <row r="15" spans="1:90" ht="19.5" customHeight="1">
      <c r="A15" s="35" t="s">
        <v>80</v>
      </c>
      <c r="B15" s="16" t="s">
        <v>150</v>
      </c>
      <c r="C15" s="16"/>
      <c r="D15" s="8"/>
      <c r="E15" s="8"/>
      <c r="F15" s="8"/>
      <c r="G15" s="10"/>
      <c r="H15" s="10"/>
      <c r="I15" s="10"/>
      <c r="J15" s="10"/>
      <c r="K15" s="10"/>
      <c r="L15" s="10"/>
      <c r="M15" s="10"/>
      <c r="N15" s="10"/>
      <c r="O15" s="10"/>
      <c r="P15" s="390"/>
      <c r="Q15" s="390"/>
      <c r="R15" s="390"/>
      <c r="S15" s="390"/>
      <c r="T15" s="390"/>
      <c r="U15" s="390"/>
      <c r="V15" s="390"/>
      <c r="W15" s="390"/>
      <c r="X15" s="391"/>
      <c r="Y15" s="5"/>
      <c r="Z15" s="5"/>
      <c r="AA15" s="5"/>
      <c r="AB15" s="5"/>
      <c r="AC15" s="5"/>
      <c r="AD15" s="5"/>
      <c r="AE15" s="5"/>
      <c r="AF15" s="5"/>
      <c r="AG15" s="5"/>
      <c r="AH15" s="5"/>
      <c r="AI15" s="5"/>
      <c r="AJ15" s="5"/>
      <c r="AK15" s="5"/>
      <c r="AL15" s="5"/>
      <c r="AM15" s="5"/>
      <c r="AN15" s="5"/>
      <c r="AO15" s="5"/>
      <c r="AP15" s="5"/>
      <c r="AQ15" s="392"/>
    </row>
    <row r="16" spans="1:90" s="404" customFormat="1" ht="12" customHeight="1">
      <c r="A16" s="16"/>
      <c r="B16" s="16"/>
      <c r="C16" s="16"/>
      <c r="D16" s="8"/>
      <c r="E16" s="8"/>
      <c r="F16" s="8"/>
      <c r="G16" s="10"/>
      <c r="H16" s="10"/>
      <c r="I16" s="10"/>
      <c r="J16" s="10"/>
      <c r="K16" s="10"/>
      <c r="L16" s="10"/>
      <c r="M16" s="10"/>
      <c r="N16" s="10"/>
      <c r="O16" s="10"/>
      <c r="P16" s="390" t="s">
        <v>108</v>
      </c>
      <c r="Q16" s="390" t="s">
        <v>108</v>
      </c>
      <c r="R16" s="390" t="s">
        <v>108</v>
      </c>
      <c r="S16" s="390" t="s">
        <v>108</v>
      </c>
      <c r="T16" s="390" t="s">
        <v>108</v>
      </c>
      <c r="U16" s="390" t="s">
        <v>108</v>
      </c>
      <c r="V16" s="390" t="s">
        <v>108</v>
      </c>
      <c r="W16" s="390"/>
      <c r="X16" s="391"/>
      <c r="Y16" s="5"/>
      <c r="Z16" s="5"/>
      <c r="AA16" s="5"/>
      <c r="AB16" s="5"/>
      <c r="AC16" s="5"/>
      <c r="AD16" s="5"/>
      <c r="AE16" s="5"/>
      <c r="AF16" s="5"/>
      <c r="AG16" s="5"/>
      <c r="AH16" s="5"/>
      <c r="AI16" s="5"/>
      <c r="AJ16" s="5"/>
      <c r="AK16" s="5"/>
      <c r="AL16" s="5"/>
      <c r="AM16" s="5"/>
      <c r="AN16" s="5"/>
      <c r="AO16" s="5"/>
      <c r="AP16" s="5"/>
      <c r="AQ16" s="392"/>
    </row>
    <row r="17" spans="1:43" s="404" customFormat="1" ht="12" customHeight="1" thickBot="1">
      <c r="A17" s="405"/>
      <c r="B17" s="405"/>
      <c r="C17" s="405"/>
      <c r="D17" s="406"/>
      <c r="E17" s="406"/>
      <c r="F17" s="406"/>
      <c r="G17" s="406"/>
      <c r="H17" s="406"/>
      <c r="I17" s="406"/>
      <c r="J17" s="406"/>
      <c r="K17" s="406"/>
      <c r="L17" s="406"/>
      <c r="M17" s="406"/>
      <c r="N17" s="406"/>
      <c r="O17" s="406"/>
      <c r="P17" s="390" t="s">
        <v>109</v>
      </c>
      <c r="Q17" s="390" t="s">
        <v>109</v>
      </c>
      <c r="R17" s="390" t="s">
        <v>109</v>
      </c>
      <c r="S17" s="390" t="s">
        <v>109</v>
      </c>
      <c r="T17" s="390" t="s">
        <v>109</v>
      </c>
      <c r="U17" s="390" t="s">
        <v>109</v>
      </c>
      <c r="V17" s="390" t="s">
        <v>109</v>
      </c>
      <c r="W17" s="390"/>
      <c r="X17" s="406"/>
      <c r="Y17" s="406"/>
      <c r="Z17" s="406"/>
      <c r="AA17" s="406"/>
      <c r="AB17" s="406"/>
      <c r="AC17" s="406"/>
      <c r="AD17" s="406"/>
      <c r="AE17" s="406"/>
      <c r="AF17" s="407"/>
      <c r="AG17" s="407"/>
      <c r="AH17" s="407"/>
      <c r="AI17" s="407"/>
      <c r="AJ17" s="407"/>
      <c r="AK17" s="407"/>
      <c r="AL17" s="407"/>
      <c r="AM17" s="407"/>
      <c r="AN17" s="407"/>
      <c r="AO17" s="407"/>
      <c r="AP17" s="407"/>
      <c r="AQ17" s="407"/>
    </row>
    <row r="18" spans="1:43" ht="16.5" customHeight="1" thickBot="1">
      <c r="A18" s="343"/>
      <c r="B18" s="305"/>
      <c r="C18" s="305"/>
      <c r="D18" s="305" t="s">
        <v>24</v>
      </c>
      <c r="E18" s="305" t="s">
        <v>25</v>
      </c>
      <c r="F18" s="305" t="s">
        <v>26</v>
      </c>
      <c r="G18" s="305" t="s">
        <v>27</v>
      </c>
      <c r="H18" s="305" t="s">
        <v>28</v>
      </c>
      <c r="I18" s="305" t="s">
        <v>29</v>
      </c>
      <c r="J18" s="305" t="s">
        <v>30</v>
      </c>
      <c r="K18" s="305" t="s">
        <v>31</v>
      </c>
      <c r="L18" s="305" t="s">
        <v>32</v>
      </c>
      <c r="M18" s="305" t="s">
        <v>33</v>
      </c>
      <c r="N18" s="305" t="s">
        <v>34</v>
      </c>
      <c r="O18" s="305" t="s">
        <v>35</v>
      </c>
      <c r="P18" s="305" t="s">
        <v>36</v>
      </c>
      <c r="Q18" s="305" t="s">
        <v>37</v>
      </c>
      <c r="R18" s="305" t="s">
        <v>38</v>
      </c>
      <c r="S18" s="305" t="s">
        <v>39</v>
      </c>
      <c r="T18" s="305" t="s">
        <v>40</v>
      </c>
      <c r="U18" s="305" t="s">
        <v>41</v>
      </c>
      <c r="V18" s="305" t="s">
        <v>42</v>
      </c>
      <c r="W18" s="305" t="s">
        <v>43</v>
      </c>
      <c r="X18" s="305" t="s">
        <v>110</v>
      </c>
      <c r="Y18" s="305" t="s">
        <v>111</v>
      </c>
      <c r="Z18" s="305" t="s">
        <v>113</v>
      </c>
      <c r="AA18" s="305" t="s">
        <v>120</v>
      </c>
      <c r="AB18" s="305" t="s">
        <v>114</v>
      </c>
      <c r="AC18" s="305" t="s">
        <v>116</v>
      </c>
      <c r="AD18" s="305" t="s">
        <v>117</v>
      </c>
      <c r="AE18" s="305" t="s">
        <v>119</v>
      </c>
      <c r="AF18" s="306" t="s">
        <v>121</v>
      </c>
      <c r="AG18" s="306" t="s">
        <v>123</v>
      </c>
      <c r="AH18" s="306" t="s">
        <v>124</v>
      </c>
      <c r="AI18" s="306" t="s">
        <v>125</v>
      </c>
      <c r="AJ18" s="306" t="s">
        <v>127</v>
      </c>
      <c r="AK18" s="306" t="s">
        <v>128</v>
      </c>
      <c r="AL18" s="306" t="s">
        <v>129</v>
      </c>
      <c r="AM18" s="306" t="s">
        <v>130</v>
      </c>
      <c r="AN18" s="306" t="s">
        <v>131</v>
      </c>
      <c r="AO18" s="306" t="s">
        <v>223</v>
      </c>
      <c r="AP18" s="306" t="s">
        <v>224</v>
      </c>
      <c r="AQ18" s="344" t="s">
        <v>511</v>
      </c>
    </row>
    <row r="19" spans="1:43" ht="15.95" customHeight="1">
      <c r="A19" s="350" t="s">
        <v>804</v>
      </c>
      <c r="B19" s="351" t="s">
        <v>701</v>
      </c>
      <c r="C19" s="351"/>
      <c r="D19" s="352">
        <v>0.504</v>
      </c>
      <c r="E19" s="352">
        <v>0.45400000000000001</v>
      </c>
      <c r="F19" s="352">
        <v>0.46600000000000003</v>
      </c>
      <c r="G19" s="352">
        <v>0.49</v>
      </c>
      <c r="H19" s="352">
        <v>0.432</v>
      </c>
      <c r="I19" s="352">
        <v>0.40699999999999997</v>
      </c>
      <c r="J19" s="352">
        <v>0.39300000000000002</v>
      </c>
      <c r="K19" s="352">
        <v>0.436</v>
      </c>
      <c r="L19" s="352">
        <v>0.40799999999999997</v>
      </c>
      <c r="M19" s="352">
        <v>0.39100000000000001</v>
      </c>
      <c r="N19" s="352">
        <v>0.38700000000000001</v>
      </c>
      <c r="O19" s="352">
        <v>0.39900000000000002</v>
      </c>
      <c r="P19" s="352">
        <v>0.39215735723002326</v>
      </c>
      <c r="Q19" s="352">
        <v>0.379</v>
      </c>
      <c r="R19" s="352">
        <v>0.38500000000000001</v>
      </c>
      <c r="S19" s="352">
        <v>0.45600000000000002</v>
      </c>
      <c r="T19" s="352">
        <v>0.443</v>
      </c>
      <c r="U19" s="352">
        <v>0.44600000000000001</v>
      </c>
      <c r="V19" s="352">
        <v>0.442</v>
      </c>
      <c r="W19" s="352">
        <v>0.40300000000000002</v>
      </c>
      <c r="X19" s="352">
        <v>0.442</v>
      </c>
      <c r="Y19" s="352">
        <v>0.45500000000000002</v>
      </c>
      <c r="Z19" s="353">
        <v>0.46300000000000002</v>
      </c>
      <c r="AA19" s="353">
        <v>0.52200000000000002</v>
      </c>
      <c r="AB19" s="353">
        <v>0.54400000000000004</v>
      </c>
      <c r="AC19" s="352">
        <v>0.52900000000000003</v>
      </c>
      <c r="AD19" s="353">
        <v>0.495</v>
      </c>
      <c r="AE19" s="353">
        <v>0.68899999999999995</v>
      </c>
      <c r="AF19" s="353">
        <v>0.50700000000000001</v>
      </c>
      <c r="AG19" s="353">
        <v>0.44400000000000001</v>
      </c>
      <c r="AH19" s="353">
        <v>0.45300000000000001</v>
      </c>
      <c r="AI19" s="353">
        <v>0.499</v>
      </c>
      <c r="AJ19" s="353">
        <v>0.52600000000000002</v>
      </c>
      <c r="AK19" s="353">
        <v>0.439</v>
      </c>
      <c r="AL19" s="353">
        <v>0.43</v>
      </c>
      <c r="AM19" s="353">
        <v>0.45100000000000001</v>
      </c>
      <c r="AN19" s="353">
        <v>0.49199999999999999</v>
      </c>
      <c r="AO19" s="353">
        <v>0.438</v>
      </c>
      <c r="AP19" s="353">
        <v>0.42499999999999999</v>
      </c>
      <c r="AQ19" s="354">
        <v>0.41799999999999998</v>
      </c>
    </row>
    <row r="20" spans="1:43" ht="15.95" customHeight="1">
      <c r="A20" s="355" t="s">
        <v>805</v>
      </c>
      <c r="B20" s="356" t="s">
        <v>702</v>
      </c>
      <c r="C20" s="356"/>
      <c r="D20" s="1254">
        <v>0.504</v>
      </c>
      <c r="E20" s="1254">
        <v>0.45400000000000001</v>
      </c>
      <c r="F20" s="1254">
        <v>0.46600000000000003</v>
      </c>
      <c r="G20" s="1254">
        <v>0.49</v>
      </c>
      <c r="H20" s="1254">
        <v>0.432</v>
      </c>
      <c r="I20" s="1254">
        <v>0.41899999999999998</v>
      </c>
      <c r="J20" s="1254">
        <v>0.41</v>
      </c>
      <c r="K20" s="1254">
        <v>0.41699999999999998</v>
      </c>
      <c r="L20" s="1254">
        <v>0.40799999999999997</v>
      </c>
      <c r="M20" s="1254">
        <v>0.39900000000000002</v>
      </c>
      <c r="N20" s="1254">
        <v>0.39500000000000002</v>
      </c>
      <c r="O20" s="1254">
        <v>0.39600000000000002</v>
      </c>
      <c r="P20" s="1237">
        <v>0.39200000000000002</v>
      </c>
      <c r="Q20" s="1237">
        <v>0.38900000000000001</v>
      </c>
      <c r="R20" s="1237">
        <v>0.38900000000000001</v>
      </c>
      <c r="S20" s="1237">
        <v>0.40300000000000002</v>
      </c>
      <c r="T20" s="1254">
        <v>0.41499999999999998</v>
      </c>
      <c r="U20" s="1254">
        <v>0.43099999999999999</v>
      </c>
      <c r="V20" s="1254">
        <v>0.44700000000000001</v>
      </c>
      <c r="W20" s="1254">
        <v>0.432</v>
      </c>
      <c r="X20" s="1254">
        <v>0.43099999999999999</v>
      </c>
      <c r="Y20" s="1254">
        <v>0.434</v>
      </c>
      <c r="Z20" s="359">
        <v>0.44</v>
      </c>
      <c r="AA20" s="359">
        <v>0.47099999999999997</v>
      </c>
      <c r="AB20" s="359">
        <v>0.49399999999999999</v>
      </c>
      <c r="AC20" s="1254">
        <v>0.51300000000000001</v>
      </c>
      <c r="AD20" s="359">
        <v>0.52200000000000002</v>
      </c>
      <c r="AE20" s="359">
        <v>0.56599999999999995</v>
      </c>
      <c r="AF20" s="359">
        <v>0.55600000000000005</v>
      </c>
      <c r="AG20" s="359">
        <v>0.53100000000000003</v>
      </c>
      <c r="AH20" s="359">
        <v>0.51900000000000002</v>
      </c>
      <c r="AI20" s="359">
        <v>0.47399999999999998</v>
      </c>
      <c r="AJ20" s="359">
        <v>0.48</v>
      </c>
      <c r="AK20" s="359">
        <v>0.47799999999999998</v>
      </c>
      <c r="AL20" s="359">
        <v>0.47199999999999998</v>
      </c>
      <c r="AM20" s="359">
        <v>0.46</v>
      </c>
      <c r="AN20" s="359">
        <v>0.45300000000000001</v>
      </c>
      <c r="AO20" s="359">
        <v>0.45300000000000001</v>
      </c>
      <c r="AP20" s="359">
        <v>0.45100000000000001</v>
      </c>
      <c r="AQ20" s="361">
        <v>0.442</v>
      </c>
    </row>
    <row r="21" spans="1:43" ht="15.95" customHeight="1">
      <c r="A21" s="362" t="s">
        <v>687</v>
      </c>
      <c r="B21" s="363" t="s">
        <v>667</v>
      </c>
      <c r="C21" s="363"/>
      <c r="D21" s="364">
        <v>3.5291845466048938E-2</v>
      </c>
      <c r="E21" s="364">
        <v>3.3236358861036625E-2</v>
      </c>
      <c r="F21" s="364">
        <v>3.1698547218237713E-2</v>
      </c>
      <c r="G21" s="365">
        <v>2.9498072738272138E-2</v>
      </c>
      <c r="H21" s="365">
        <v>2.8166530890363747E-2</v>
      </c>
      <c r="I21" s="365">
        <v>2.7378257779235249E-2</v>
      </c>
      <c r="J21" s="365">
        <v>2.6708329021587054E-2</v>
      </c>
      <c r="K21" s="365">
        <v>2.6055739882653754E-2</v>
      </c>
      <c r="L21" s="365">
        <v>2.5787673721287926E-2</v>
      </c>
      <c r="M21" s="365">
        <v>2.5405462826734296E-2</v>
      </c>
      <c r="N21" s="365">
        <v>2.5044609084411053E-2</v>
      </c>
      <c r="O21" s="365">
        <v>2.4540234197380106E-2</v>
      </c>
      <c r="P21" s="365">
        <v>2.4546961624199778E-2</v>
      </c>
      <c r="Q21" s="365">
        <v>2.4223318493269648E-2</v>
      </c>
      <c r="R21" s="365">
        <v>2.4012823784478381E-2</v>
      </c>
      <c r="S21" s="365">
        <v>2.4481086086392656E-2</v>
      </c>
      <c r="T21" s="365">
        <v>2.4157931197542958E-2</v>
      </c>
      <c r="U21" s="365">
        <v>2.4008307430894087E-2</v>
      </c>
      <c r="V21" s="365">
        <v>2.3655501140390923E-2</v>
      </c>
      <c r="W21" s="365">
        <v>2.338653060419844E-2</v>
      </c>
      <c r="X21" s="365">
        <v>2.3182451192332948E-2</v>
      </c>
      <c r="Y21" s="365">
        <v>2.3307207375558629E-2</v>
      </c>
      <c r="Z21" s="364">
        <v>2.3327659725398582E-2</v>
      </c>
      <c r="AA21" s="364">
        <v>2.3049079199142342E-2</v>
      </c>
      <c r="AB21" s="364">
        <v>2.3110258968474427E-2</v>
      </c>
      <c r="AC21" s="365">
        <v>2.2258580274305512E-2</v>
      </c>
      <c r="AD21" s="364">
        <v>2.2028637550199057E-2</v>
      </c>
      <c r="AE21" s="364">
        <v>2.3529852188440482E-2</v>
      </c>
      <c r="AF21" s="364">
        <v>2.3025210692458626E-2</v>
      </c>
      <c r="AG21" s="364">
        <v>2.2841658824783204E-2</v>
      </c>
      <c r="AH21" s="364">
        <v>2.265382381211031E-2</v>
      </c>
      <c r="AI21" s="364">
        <v>2.0436461904417686E-2</v>
      </c>
      <c r="AJ21" s="364">
        <v>2.0849684616614003E-2</v>
      </c>
      <c r="AK21" s="364">
        <v>2.0485927492245256E-2</v>
      </c>
      <c r="AL21" s="364">
        <v>2.0216727951822673E-2</v>
      </c>
      <c r="AM21" s="364">
        <v>1.998133141166172E-2</v>
      </c>
      <c r="AN21" s="364">
        <v>1.9905647232119753E-2</v>
      </c>
      <c r="AO21" s="364">
        <v>1.9982631504324402E-2</v>
      </c>
      <c r="AP21" s="364">
        <v>1.9949997208614685E-2</v>
      </c>
      <c r="AQ21" s="366">
        <v>1.9400000000000001E-2</v>
      </c>
    </row>
    <row r="22" spans="1:43" ht="15.95" customHeight="1">
      <c r="A22" s="362" t="s">
        <v>681</v>
      </c>
      <c r="B22" s="367" t="s">
        <v>697</v>
      </c>
      <c r="C22" s="367"/>
      <c r="D22" s="368">
        <v>0.154</v>
      </c>
      <c r="E22" s="368">
        <v>0.17</v>
      </c>
      <c r="F22" s="368">
        <v>0.17399999999999999</v>
      </c>
      <c r="G22" s="369">
        <v>0.11600000000000001</v>
      </c>
      <c r="H22" s="369">
        <v>0.14000000000000001</v>
      </c>
      <c r="I22" s="369">
        <v>0.14499999999999999</v>
      </c>
      <c r="J22" s="369">
        <v>0.14899999999999999</v>
      </c>
      <c r="K22" s="369">
        <v>0.156</v>
      </c>
      <c r="L22" s="369">
        <v>0.16300000000000001</v>
      </c>
      <c r="M22" s="369">
        <v>0.182</v>
      </c>
      <c r="N22" s="369">
        <v>0.189</v>
      </c>
      <c r="O22" s="369">
        <v>0.16900000000000001</v>
      </c>
      <c r="P22" s="369">
        <v>0.17699999999999999</v>
      </c>
      <c r="Q22" s="369">
        <v>0.16800000000000001</v>
      </c>
      <c r="R22" s="369">
        <v>0.16</v>
      </c>
      <c r="S22" s="369">
        <v>0.13700000000000001</v>
      </c>
      <c r="T22" s="369">
        <v>0.129</v>
      </c>
      <c r="U22" s="369">
        <v>0.124</v>
      </c>
      <c r="V22" s="369">
        <v>0.125</v>
      </c>
      <c r="W22" s="369">
        <v>0.151</v>
      </c>
      <c r="X22" s="369">
        <v>0.127</v>
      </c>
      <c r="Y22" s="369">
        <v>0.13200000000000001</v>
      </c>
      <c r="Z22" s="368">
        <v>0.13100000000000001</v>
      </c>
      <c r="AA22" s="368">
        <v>0.105</v>
      </c>
      <c r="AB22" s="368">
        <v>9.4E-2</v>
      </c>
      <c r="AC22" s="369">
        <v>9.9000000000000005E-2</v>
      </c>
      <c r="AD22" s="368">
        <v>0.111</v>
      </c>
      <c r="AE22" s="368">
        <v>5.8999999999999997E-2</v>
      </c>
      <c r="AF22" s="368">
        <v>8.4000000000000005E-2</v>
      </c>
      <c r="AG22" s="368">
        <v>0.112</v>
      </c>
      <c r="AH22" s="368">
        <v>9.6000000000000002E-2</v>
      </c>
      <c r="AI22" s="368">
        <v>7.2999999999999995E-2</v>
      </c>
      <c r="AJ22" s="368">
        <v>6.5000000000000002E-2</v>
      </c>
      <c r="AK22" s="368">
        <v>0.10199999999999999</v>
      </c>
      <c r="AL22" s="368">
        <v>0.10299999999999999</v>
      </c>
      <c r="AM22" s="368">
        <v>9.0999999999999998E-2</v>
      </c>
      <c r="AN22" s="368">
        <v>8.43E-2</v>
      </c>
      <c r="AO22" s="368">
        <v>0.10199999999999999</v>
      </c>
      <c r="AP22" s="368">
        <v>0.111</v>
      </c>
      <c r="AQ22" s="1281">
        <v>0.104</v>
      </c>
    </row>
    <row r="23" spans="1:43" ht="15.95" customHeight="1">
      <c r="A23" s="348" t="s">
        <v>682</v>
      </c>
      <c r="B23" s="370" t="s">
        <v>698</v>
      </c>
      <c r="C23" s="370"/>
      <c r="D23" s="357">
        <v>0.2</v>
      </c>
      <c r="E23" s="357">
        <v>0.17499999999999999</v>
      </c>
      <c r="F23" s="357">
        <v>0.151</v>
      </c>
      <c r="G23" s="357">
        <v>0.14799999999999999</v>
      </c>
      <c r="H23" s="357">
        <v>0.14585745930954999</v>
      </c>
      <c r="I23" s="357">
        <v>0.143124104140295</v>
      </c>
      <c r="J23" s="357">
        <v>0.14135587009033901</v>
      </c>
      <c r="K23" s="357">
        <v>0.14902237212442601</v>
      </c>
      <c r="L23" s="357">
        <v>0.15369878526523001</v>
      </c>
      <c r="M23" s="357">
        <v>0.162914885086509</v>
      </c>
      <c r="N23" s="357">
        <v>0.17103346420447901</v>
      </c>
      <c r="O23" s="357">
        <v>0.17491414377082501</v>
      </c>
      <c r="P23" s="357">
        <v>0.17888495880882094</v>
      </c>
      <c r="Q23" s="1254">
        <v>0.1775749751933284</v>
      </c>
      <c r="R23" s="1254">
        <v>0.16884506199749924</v>
      </c>
      <c r="S23" s="1254">
        <v>0.16004043321393596</v>
      </c>
      <c r="T23" s="357">
        <v>0.1472437822143618</v>
      </c>
      <c r="U23" s="357">
        <v>0.13839158520345249</v>
      </c>
      <c r="V23" s="357">
        <v>0.12935592690387174</v>
      </c>
      <c r="W23" s="357">
        <v>0.13201846235068337</v>
      </c>
      <c r="X23" s="357">
        <v>0.13106673306739899</v>
      </c>
      <c r="Y23" s="357">
        <v>0.13427924746534101</v>
      </c>
      <c r="Z23" s="359">
        <v>0.13519999999999999</v>
      </c>
      <c r="AA23" s="359">
        <v>0.124</v>
      </c>
      <c r="AB23" s="359">
        <v>0.1149</v>
      </c>
      <c r="AC23" s="357">
        <v>0.107</v>
      </c>
      <c r="AD23" s="359">
        <v>0.1023</v>
      </c>
      <c r="AE23" s="359">
        <v>9.0300000000000005E-2</v>
      </c>
      <c r="AF23" s="359">
        <v>8.7900000000000006E-2</v>
      </c>
      <c r="AG23" s="359">
        <v>9.1700000000000004E-2</v>
      </c>
      <c r="AH23" s="359">
        <v>8.7999999999999995E-2</v>
      </c>
      <c r="AI23" s="359">
        <v>9.0999999999999998E-2</v>
      </c>
      <c r="AJ23" s="359">
        <v>8.5999999999999993E-2</v>
      </c>
      <c r="AK23" s="359">
        <v>8.4000000000000005E-2</v>
      </c>
      <c r="AL23" s="359">
        <v>8.5999999999999993E-2</v>
      </c>
      <c r="AM23" s="359">
        <v>0.09</v>
      </c>
      <c r="AN23" s="359">
        <v>9.5000000000000001E-2</v>
      </c>
      <c r="AO23" s="359">
        <v>9.5200000000000007E-2</v>
      </c>
      <c r="AP23" s="359">
        <v>9.7199999999999995E-2</v>
      </c>
      <c r="AQ23" s="371">
        <v>0.1</v>
      </c>
    </row>
    <row r="24" spans="1:43" ht="15.95" customHeight="1">
      <c r="A24" s="372" t="s">
        <v>683</v>
      </c>
      <c r="B24" s="373" t="s">
        <v>699</v>
      </c>
      <c r="C24" s="373"/>
      <c r="D24" s="374">
        <v>1.6E-2</v>
      </c>
      <c r="E24" s="374">
        <v>1.7000000000000001E-2</v>
      </c>
      <c r="F24" s="374">
        <v>1.7999999999999999E-2</v>
      </c>
      <c r="G24" s="374">
        <v>1.4E-2</v>
      </c>
      <c r="H24" s="374">
        <v>1.9E-2</v>
      </c>
      <c r="I24" s="374">
        <v>1.9E-2</v>
      </c>
      <c r="J24" s="374">
        <v>0.02</v>
      </c>
      <c r="K24" s="374">
        <v>0.02</v>
      </c>
      <c r="L24" s="374">
        <v>2.1000000000000001E-2</v>
      </c>
      <c r="M24" s="374">
        <v>2.1999999999999999E-2</v>
      </c>
      <c r="N24" s="374">
        <v>2.1999999999999999E-2</v>
      </c>
      <c r="O24" s="374">
        <v>0.02</v>
      </c>
      <c r="P24" s="374">
        <v>2.1000000000000001E-2</v>
      </c>
      <c r="Q24" s="1255">
        <v>0.02</v>
      </c>
      <c r="R24" s="1255">
        <v>1.9E-2</v>
      </c>
      <c r="S24" s="1255">
        <v>1.7000000000000001E-2</v>
      </c>
      <c r="T24" s="374">
        <v>1.6E-2</v>
      </c>
      <c r="U24" s="374">
        <v>1.4999999999999999E-2</v>
      </c>
      <c r="V24" s="374">
        <v>1.4999999999999999E-2</v>
      </c>
      <c r="W24" s="374">
        <v>1.9E-2</v>
      </c>
      <c r="X24" s="374">
        <v>1.6E-2</v>
      </c>
      <c r="Y24" s="374">
        <v>1.4999999999999999E-2</v>
      </c>
      <c r="Z24" s="375">
        <v>1.4E-2</v>
      </c>
      <c r="AA24" s="375">
        <v>1.2E-2</v>
      </c>
      <c r="AB24" s="375">
        <v>0.01</v>
      </c>
      <c r="AC24" s="1255">
        <v>1.0999999999999999E-2</v>
      </c>
      <c r="AD24" s="375">
        <v>1.2999999999999999E-2</v>
      </c>
      <c r="AE24" s="375">
        <v>7.0000000000000001E-3</v>
      </c>
      <c r="AF24" s="375">
        <v>0.01</v>
      </c>
      <c r="AG24" s="375">
        <v>1.2999999999999999E-2</v>
      </c>
      <c r="AH24" s="375">
        <v>1.0999999999999999E-2</v>
      </c>
      <c r="AI24" s="375">
        <v>8.0000000000000002E-3</v>
      </c>
      <c r="AJ24" s="375">
        <v>7.0000000000000001E-3</v>
      </c>
      <c r="AK24" s="375">
        <v>1.2E-2</v>
      </c>
      <c r="AL24" s="375">
        <v>1.2E-2</v>
      </c>
      <c r="AM24" s="375">
        <v>1.0999999999999999E-2</v>
      </c>
      <c r="AN24" s="375">
        <v>1.04E-2</v>
      </c>
      <c r="AO24" s="375">
        <v>1.26E-2</v>
      </c>
      <c r="AP24" s="375">
        <v>1.37E-2</v>
      </c>
      <c r="AQ24" s="376">
        <v>1.2999999999999999E-2</v>
      </c>
    </row>
    <row r="25" spans="1:43" ht="15.95" customHeight="1">
      <c r="A25" s="348" t="s">
        <v>684</v>
      </c>
      <c r="B25" s="370" t="s">
        <v>700</v>
      </c>
      <c r="C25" s="370"/>
      <c r="D25" s="357">
        <v>2.1999999999999999E-2</v>
      </c>
      <c r="E25" s="357">
        <v>1.7999999999999999E-2</v>
      </c>
      <c r="F25" s="357">
        <v>1.6E-2</v>
      </c>
      <c r="G25" s="357">
        <v>1.6E-2</v>
      </c>
      <c r="H25" s="357">
        <v>1.6757749827888999E-2</v>
      </c>
      <c r="I25" s="357">
        <v>1.7306736703127001E-2</v>
      </c>
      <c r="J25" s="357">
        <v>1.8084003457272999E-2</v>
      </c>
      <c r="K25" s="357">
        <v>1.9725955272067001E-2</v>
      </c>
      <c r="L25" s="357">
        <v>2.0249375608127E-2</v>
      </c>
      <c r="M25" s="357">
        <v>2.081068349496E-2</v>
      </c>
      <c r="N25" s="357">
        <v>2.1276624397895998E-2</v>
      </c>
      <c r="O25" s="357">
        <v>2.1179303009633998E-2</v>
      </c>
      <c r="P25" s="357">
        <v>2.1516429189962123E-2</v>
      </c>
      <c r="Q25" s="1254">
        <v>2.1086517588582248E-2</v>
      </c>
      <c r="R25" s="1254">
        <v>2.0312824999164446E-2</v>
      </c>
      <c r="S25" s="1254">
        <v>1.9546234805198771E-2</v>
      </c>
      <c r="T25" s="357">
        <v>1.8227371042332831E-2</v>
      </c>
      <c r="U25" s="357">
        <v>1.6992193239980326E-2</v>
      </c>
      <c r="V25" s="357">
        <v>1.5894898384187915E-2</v>
      </c>
      <c r="W25" s="357">
        <v>1.6340281294550296E-2</v>
      </c>
      <c r="X25" s="357">
        <v>1.62574756492871E-2</v>
      </c>
      <c r="Y25" s="357">
        <v>1.6041272986500901E-2</v>
      </c>
      <c r="Z25" s="359">
        <v>1.5900000000000001E-2</v>
      </c>
      <c r="AA25" s="359">
        <v>1.43E-2</v>
      </c>
      <c r="AB25" s="359">
        <v>1.2999999999999999E-2</v>
      </c>
      <c r="AC25" s="357">
        <v>1.18E-2</v>
      </c>
      <c r="AD25" s="359">
        <v>1.146E-2</v>
      </c>
      <c r="AE25" s="359">
        <v>1.0200000000000001E-2</v>
      </c>
      <c r="AF25" s="359">
        <v>0.01</v>
      </c>
      <c r="AG25" s="359">
        <v>1.0500000000000001E-2</v>
      </c>
      <c r="AH25" s="359">
        <v>0.01</v>
      </c>
      <c r="AI25" s="359">
        <v>1.0999999999999999E-2</v>
      </c>
      <c r="AJ25" s="359">
        <v>0.01</v>
      </c>
      <c r="AK25" s="359">
        <v>0.01</v>
      </c>
      <c r="AL25" s="359">
        <v>0.01</v>
      </c>
      <c r="AM25" s="359">
        <v>1.0999999999999999E-2</v>
      </c>
      <c r="AN25" s="359">
        <v>1.0999999999999999E-2</v>
      </c>
      <c r="AO25" s="359">
        <v>1.1599999999999999E-2</v>
      </c>
      <c r="AP25" s="359">
        <v>1.1900000000000001E-2</v>
      </c>
      <c r="AQ25" s="371">
        <v>1.2E-2</v>
      </c>
    </row>
    <row r="26" spans="1:43" ht="15.95" customHeight="1">
      <c r="A26" s="372" t="s">
        <v>685</v>
      </c>
      <c r="B26" s="370" t="s">
        <v>696</v>
      </c>
      <c r="C26" s="370"/>
      <c r="D26" s="374">
        <v>0.04</v>
      </c>
      <c r="E26" s="374">
        <v>3.5000000000000003E-2</v>
      </c>
      <c r="F26" s="374">
        <v>0.04</v>
      </c>
      <c r="G26" s="374">
        <v>4.1000000000000002E-2</v>
      </c>
      <c r="H26" s="374">
        <v>4.2000000000000003E-2</v>
      </c>
      <c r="I26" s="374">
        <v>4.2999999999999997E-2</v>
      </c>
      <c r="J26" s="374">
        <v>4.3999999999999997E-2</v>
      </c>
      <c r="K26" s="374">
        <v>4.3999999999999997E-2</v>
      </c>
      <c r="L26" s="374">
        <v>4.3999999999999997E-2</v>
      </c>
      <c r="M26" s="374">
        <v>4.5999999999999999E-2</v>
      </c>
      <c r="N26" s="374">
        <v>4.7E-2</v>
      </c>
      <c r="O26" s="374">
        <v>4.8000000000000001E-2</v>
      </c>
      <c r="P26" s="374">
        <v>4.9000000000000002E-2</v>
      </c>
      <c r="Q26" s="1255">
        <v>4.7600000000000003E-2</v>
      </c>
      <c r="R26" s="1255">
        <v>4.6300000000000001E-2</v>
      </c>
      <c r="S26" s="1255">
        <v>4.36E-2</v>
      </c>
      <c r="T26" s="374">
        <v>4.0599999999999997E-2</v>
      </c>
      <c r="U26" s="374">
        <v>3.6299999999999999E-2</v>
      </c>
      <c r="V26" s="374">
        <v>3.5299999999999998E-2</v>
      </c>
      <c r="W26" s="374">
        <v>3.73E-2</v>
      </c>
      <c r="X26" s="374">
        <v>3.8800000000000001E-2</v>
      </c>
      <c r="Y26" s="374">
        <v>3.5999999999999997E-2</v>
      </c>
      <c r="Z26" s="375">
        <v>3.5499999999999997E-2</v>
      </c>
      <c r="AA26" s="375">
        <v>3.3300000000000003E-2</v>
      </c>
      <c r="AB26" s="375">
        <v>2.9899999999999999E-2</v>
      </c>
      <c r="AC26" s="374">
        <v>2.93E-2</v>
      </c>
      <c r="AD26" s="375">
        <v>3.1099999999999999E-2</v>
      </c>
      <c r="AE26" s="375">
        <v>3.1199999999999999E-2</v>
      </c>
      <c r="AF26" s="375">
        <v>3.1199999999999999E-2</v>
      </c>
      <c r="AG26" s="375">
        <v>3.1699999999999999E-2</v>
      </c>
      <c r="AH26" s="375">
        <v>3.1699999999999999E-2</v>
      </c>
      <c r="AI26" s="375">
        <v>3.1800000000000002E-2</v>
      </c>
      <c r="AJ26" s="375">
        <v>3.2099999999999997E-2</v>
      </c>
      <c r="AK26" s="375">
        <v>3.27E-2</v>
      </c>
      <c r="AL26" s="375">
        <v>3.3700000000000001E-2</v>
      </c>
      <c r="AM26" s="375">
        <v>3.4099999999999998E-2</v>
      </c>
      <c r="AN26" s="375">
        <v>3.4000000000000002E-2</v>
      </c>
      <c r="AO26" s="375">
        <v>3.4099999999999998E-2</v>
      </c>
      <c r="AP26" s="377">
        <v>3.4000000000000002E-2</v>
      </c>
      <c r="AQ26" s="376">
        <v>3.4799999999999998E-2</v>
      </c>
    </row>
    <row r="27" spans="1:43" ht="15.95" customHeight="1">
      <c r="A27" s="348" t="s">
        <v>688</v>
      </c>
      <c r="B27" s="370" t="s">
        <v>695</v>
      </c>
      <c r="C27" s="370"/>
      <c r="D27" s="357">
        <v>5.2999999999999999E-2</v>
      </c>
      <c r="E27" s="357">
        <v>4.7E-2</v>
      </c>
      <c r="F27" s="357">
        <v>4.2999999999999997E-2</v>
      </c>
      <c r="G27" s="357">
        <v>3.9E-2</v>
      </c>
      <c r="H27" s="357">
        <v>3.9505717694858E-2</v>
      </c>
      <c r="I27" s="357">
        <v>4.1432528924932002E-2</v>
      </c>
      <c r="J27" s="357">
        <v>4.271428003938E-2</v>
      </c>
      <c r="K27" s="357">
        <v>4.3532108217182001E-2</v>
      </c>
      <c r="L27" s="357">
        <v>4.4077398542698001E-2</v>
      </c>
      <c r="M27" s="357">
        <v>4.4741651320331997E-2</v>
      </c>
      <c r="N27" s="357">
        <v>4.5322359628439002E-2</v>
      </c>
      <c r="O27" s="357">
        <v>4.6407214733628001E-2</v>
      </c>
      <c r="P27" s="357">
        <v>4.7742113661220789E-2</v>
      </c>
      <c r="Q27" s="1254">
        <v>4.8178712895948196E-2</v>
      </c>
      <c r="R27" s="1254">
        <v>4.7787061286889525E-2</v>
      </c>
      <c r="S27" s="1254">
        <v>4.6715113541240111E-2</v>
      </c>
      <c r="T27" s="358">
        <v>4.4316928581778603E-2</v>
      </c>
      <c r="U27" s="358">
        <v>4.1545307543680743E-2</v>
      </c>
      <c r="V27" s="358">
        <v>3.8775381733624638E-2</v>
      </c>
      <c r="W27" s="358">
        <v>3.7471332554398669E-2</v>
      </c>
      <c r="X27" s="358">
        <v>3.6965369094637802E-2</v>
      </c>
      <c r="Y27" s="358">
        <v>3.5863237555104503E-2</v>
      </c>
      <c r="Z27" s="360">
        <v>3.6200000000000003E-2</v>
      </c>
      <c r="AA27" s="360">
        <v>3.56E-2</v>
      </c>
      <c r="AB27" s="360">
        <v>3.3599999999999998E-2</v>
      </c>
      <c r="AC27" s="358">
        <v>3.2000000000000001E-2</v>
      </c>
      <c r="AD27" s="360">
        <v>3.09E-2</v>
      </c>
      <c r="AE27" s="360">
        <v>3.04E-2</v>
      </c>
      <c r="AF27" s="360">
        <v>3.0800000000000001E-2</v>
      </c>
      <c r="AG27" s="360">
        <v>3.1300000000000001E-2</v>
      </c>
      <c r="AH27" s="360">
        <v>3.15E-2</v>
      </c>
      <c r="AI27" s="360">
        <v>3.15E-2</v>
      </c>
      <c r="AJ27" s="360">
        <v>3.1800000000000002E-2</v>
      </c>
      <c r="AK27" s="360">
        <v>3.2099999999999997E-2</v>
      </c>
      <c r="AL27" s="360">
        <v>3.27E-2</v>
      </c>
      <c r="AM27" s="360">
        <v>3.3099999999999997E-2</v>
      </c>
      <c r="AN27" s="360">
        <v>3.3599999999999998E-2</v>
      </c>
      <c r="AO27" s="360">
        <v>3.39E-2</v>
      </c>
      <c r="AP27" s="360">
        <v>3.4000000000000002E-2</v>
      </c>
      <c r="AQ27" s="378">
        <v>3.4200000000000001E-2</v>
      </c>
    </row>
    <row r="28" spans="1:43" ht="15.95" customHeight="1">
      <c r="A28" s="379" t="s">
        <v>690</v>
      </c>
      <c r="B28" s="349" t="s">
        <v>668</v>
      </c>
      <c r="C28" s="349"/>
      <c r="D28" s="380" t="s">
        <v>691</v>
      </c>
      <c r="E28" s="380">
        <v>0.89800000000000002</v>
      </c>
      <c r="F28" s="380" t="s">
        <v>691</v>
      </c>
      <c r="G28" s="357">
        <v>0.89278181650625799</v>
      </c>
      <c r="H28" s="357">
        <v>0.91729124600870104</v>
      </c>
      <c r="I28" s="357">
        <v>0.92277296704953804</v>
      </c>
      <c r="J28" s="357">
        <v>0.922575969864731</v>
      </c>
      <c r="K28" s="357">
        <v>0.92045605347972403</v>
      </c>
      <c r="L28" s="357">
        <v>0.91656920288726795</v>
      </c>
      <c r="M28" s="357">
        <v>0.91558480495839401</v>
      </c>
      <c r="N28" s="357">
        <v>0.89292945053356898</v>
      </c>
      <c r="O28" s="357">
        <v>0.88399494834269998</v>
      </c>
      <c r="P28" s="357">
        <v>0.89726095056096411</v>
      </c>
      <c r="Q28" s="357">
        <v>0.87983993469341482</v>
      </c>
      <c r="R28" s="357">
        <v>0.879548546853689</v>
      </c>
      <c r="S28" s="357">
        <v>0.89320766441458388</v>
      </c>
      <c r="T28" s="357">
        <v>0.89939193240983173</v>
      </c>
      <c r="U28" s="357">
        <v>0.90596712146871961</v>
      </c>
      <c r="V28" s="357">
        <v>0.90299468839733388</v>
      </c>
      <c r="W28" s="357">
        <v>0.89767871297397517</v>
      </c>
      <c r="X28" s="357">
        <v>0.88260000000000005</v>
      </c>
      <c r="Y28" s="357">
        <v>0.87373669768656659</v>
      </c>
      <c r="Z28" s="359">
        <v>0.875</v>
      </c>
      <c r="AA28" s="359">
        <v>0.86399999999999999</v>
      </c>
      <c r="AB28" s="359">
        <v>0.85750000000000004</v>
      </c>
      <c r="AC28" s="357">
        <v>0.87029999999999996</v>
      </c>
      <c r="AD28" s="359">
        <v>0.87680000000000002</v>
      </c>
      <c r="AE28" s="359">
        <v>0.84960000000000002</v>
      </c>
      <c r="AF28" s="359">
        <v>0.84309999999999996</v>
      </c>
      <c r="AG28" s="359">
        <v>0.83389999999999997</v>
      </c>
      <c r="AH28" s="359">
        <v>0.83699999999999997</v>
      </c>
      <c r="AI28" s="359">
        <v>0.83699999999999997</v>
      </c>
      <c r="AJ28" s="359">
        <v>0.82599999999999996</v>
      </c>
      <c r="AK28" s="359">
        <v>0.85199999999999998</v>
      </c>
      <c r="AL28" s="359">
        <v>0.84699999999999998</v>
      </c>
      <c r="AM28" s="359">
        <v>0.83199999999999996</v>
      </c>
      <c r="AN28" s="359">
        <v>0.81799999999999995</v>
      </c>
      <c r="AO28" s="359">
        <v>0.83</v>
      </c>
      <c r="AP28" s="359">
        <v>0.82399999999999995</v>
      </c>
      <c r="AQ28" s="371">
        <v>0.78400000000000003</v>
      </c>
    </row>
    <row r="29" spans="1:43" ht="15.95" customHeight="1">
      <c r="A29" s="379" t="s">
        <v>81</v>
      </c>
      <c r="B29" s="381" t="s">
        <v>161</v>
      </c>
      <c r="C29" s="381"/>
      <c r="D29" s="359">
        <v>0.96528157006118853</v>
      </c>
      <c r="E29" s="359">
        <v>0.9446428702717643</v>
      </c>
      <c r="F29" s="359">
        <v>0.94850550801696576</v>
      </c>
      <c r="G29" s="359">
        <v>0.93203686258771234</v>
      </c>
      <c r="H29" s="359">
        <v>0.95885928285498112</v>
      </c>
      <c r="I29" s="359">
        <v>0.96445894860249526</v>
      </c>
      <c r="J29" s="359">
        <v>0.96265122819887095</v>
      </c>
      <c r="K29" s="359">
        <v>0.9826058439908224</v>
      </c>
      <c r="L29" s="359">
        <v>0.97679726851023063</v>
      </c>
      <c r="M29" s="359">
        <v>0.97546293054070021</v>
      </c>
      <c r="N29" s="359">
        <v>0.97042921707210616</v>
      </c>
      <c r="O29" s="359">
        <v>0.96696064555447725</v>
      </c>
      <c r="P29" s="359">
        <v>0.97476449621293282</v>
      </c>
      <c r="Q29" s="359">
        <v>0.9588868039280205</v>
      </c>
      <c r="R29" s="359">
        <v>0.97848523263069098</v>
      </c>
      <c r="S29" s="359">
        <v>0.9814594855300407</v>
      </c>
      <c r="T29" s="359">
        <v>0.99085840188035867</v>
      </c>
      <c r="U29" s="359">
        <v>0.99625984888647734</v>
      </c>
      <c r="V29" s="359">
        <v>0.99174135594844959</v>
      </c>
      <c r="W29" s="359">
        <v>0.98498448834663721</v>
      </c>
      <c r="X29" s="359">
        <v>0.98027269907514891</v>
      </c>
      <c r="Y29" s="359">
        <v>1.0386021432130887</v>
      </c>
      <c r="Z29" s="359">
        <v>1.0418271214613286</v>
      </c>
      <c r="AA29" s="359">
        <v>1.0293062261387427</v>
      </c>
      <c r="AB29" s="359">
        <v>1.0228344880543132</v>
      </c>
      <c r="AC29" s="359">
        <v>1.0346008031873657</v>
      </c>
      <c r="AD29" s="359">
        <v>1.0389117546795359</v>
      </c>
      <c r="AE29" s="359">
        <v>0.97269720566509765</v>
      </c>
      <c r="AF29" s="359">
        <v>0.96414254365372798</v>
      </c>
      <c r="AG29" s="359">
        <v>0.96049902460250913</v>
      </c>
      <c r="AH29" s="359">
        <v>0.96020383818700727</v>
      </c>
      <c r="AI29" s="359">
        <v>0.9782489964226222</v>
      </c>
      <c r="AJ29" s="359">
        <v>0.96843797678595567</v>
      </c>
      <c r="AK29" s="359">
        <v>0.98731953987493248</v>
      </c>
      <c r="AL29" s="359">
        <v>0.98152449173275846</v>
      </c>
      <c r="AM29" s="359">
        <v>0.93079753934735665</v>
      </c>
      <c r="AN29" s="359">
        <v>0.92717920581578772</v>
      </c>
      <c r="AO29" s="359">
        <v>0.94701379511696648</v>
      </c>
      <c r="AP29" s="359">
        <v>0.93801885496217041</v>
      </c>
      <c r="AQ29" s="361">
        <v>0.88600000000000001</v>
      </c>
    </row>
    <row r="30" spans="1:43" ht="15.95" customHeight="1">
      <c r="A30" s="348" t="s">
        <v>82</v>
      </c>
      <c r="B30" s="382" t="s">
        <v>158</v>
      </c>
      <c r="C30" s="382"/>
      <c r="D30" s="358">
        <v>0.12089999999999999</v>
      </c>
      <c r="E30" s="358">
        <v>0.11210000000000001</v>
      </c>
      <c r="F30" s="358">
        <v>0.1094</v>
      </c>
      <c r="G30" s="358">
        <v>0.14660000000000001</v>
      </c>
      <c r="H30" s="358">
        <v>0.15203098083333599</v>
      </c>
      <c r="I30" s="358">
        <v>0.12975585263657499</v>
      </c>
      <c r="J30" s="358">
        <v>0.128218101292051</v>
      </c>
      <c r="K30" s="358">
        <v>0.124714653064569</v>
      </c>
      <c r="L30" s="358">
        <v>0.13377819248421799</v>
      </c>
      <c r="M30" s="358">
        <v>0.12575262881886601</v>
      </c>
      <c r="N30" s="358">
        <v>0.12292783393657999</v>
      </c>
      <c r="O30" s="358">
        <v>0.12368068888766801</v>
      </c>
      <c r="P30" s="358">
        <v>0.13630182332861818</v>
      </c>
      <c r="Q30" s="358">
        <v>0.12809480942127502</v>
      </c>
      <c r="R30" s="358">
        <v>0.12683153521046939</v>
      </c>
      <c r="S30" s="358">
        <v>0.12887913424307026</v>
      </c>
      <c r="T30" s="358">
        <v>0.13583076476534442</v>
      </c>
      <c r="U30" s="358">
        <v>0.13361194946190813</v>
      </c>
      <c r="V30" s="383">
        <v>0.1368</v>
      </c>
      <c r="W30" s="358">
        <v>0.13578531890823919</v>
      </c>
      <c r="X30" s="358">
        <v>0.13477566918699957</v>
      </c>
      <c r="Y30" s="358">
        <v>0.12324870368058952</v>
      </c>
      <c r="Z30" s="360">
        <v>0.12720000000000001</v>
      </c>
      <c r="AA30" s="360">
        <v>0.12959999999999999</v>
      </c>
      <c r="AB30" s="360">
        <v>0.13109999999999999</v>
      </c>
      <c r="AC30" s="358">
        <v>0.13880000000000001</v>
      </c>
      <c r="AD30" s="360">
        <v>0.14480000000000001</v>
      </c>
      <c r="AE30" s="347">
        <v>0.14607675347296292</v>
      </c>
      <c r="AF30" s="360">
        <v>0.15440000000000001</v>
      </c>
      <c r="AG30" s="360">
        <v>0.15210000000000001</v>
      </c>
      <c r="AH30" s="360">
        <v>0.16</v>
      </c>
      <c r="AI30" s="360">
        <v>0.15809999999999999</v>
      </c>
      <c r="AJ30" s="360">
        <v>0.156</v>
      </c>
      <c r="AK30" s="360">
        <v>0.16850000000000001</v>
      </c>
      <c r="AL30" s="360">
        <v>0.17680000000000001</v>
      </c>
      <c r="AM30" s="360">
        <v>0.17369999999999999</v>
      </c>
      <c r="AN30" s="360">
        <v>0.17780000000000001</v>
      </c>
      <c r="AO30" s="360">
        <v>0.17419999999999999</v>
      </c>
      <c r="AP30" s="360">
        <v>0.18410000000000001</v>
      </c>
      <c r="AQ30" s="384">
        <v>0.1888</v>
      </c>
    </row>
    <row r="31" spans="1:43" ht="15.95" customHeight="1">
      <c r="A31" s="348" t="s">
        <v>83</v>
      </c>
      <c r="B31" s="382" t="s">
        <v>83</v>
      </c>
      <c r="C31" s="382"/>
      <c r="D31" s="347" t="s">
        <v>691</v>
      </c>
      <c r="E31" s="347" t="s">
        <v>691</v>
      </c>
      <c r="F31" s="347" t="s">
        <v>691</v>
      </c>
      <c r="G31" s="358">
        <v>0.13468857364622</v>
      </c>
      <c r="H31" s="358">
        <v>0.139866892839907</v>
      </c>
      <c r="I31" s="358">
        <v>0.11828486975812499</v>
      </c>
      <c r="J31" s="358">
        <v>0.116471357815675</v>
      </c>
      <c r="K31" s="358">
        <v>0.11297509968778401</v>
      </c>
      <c r="L31" s="358">
        <v>0.123032959474785</v>
      </c>
      <c r="M31" s="358">
        <v>0.114685193605121</v>
      </c>
      <c r="N31" s="358">
        <v>0.11194404773474501</v>
      </c>
      <c r="O31" s="358">
        <v>0.11236184133561999</v>
      </c>
      <c r="P31" s="358">
        <v>0.12562395642744401</v>
      </c>
      <c r="Q31" s="358">
        <v>0.1178090561693</v>
      </c>
      <c r="R31" s="358">
        <v>0.116553984857133</v>
      </c>
      <c r="S31" s="358">
        <v>0.11800229395630499</v>
      </c>
      <c r="T31" s="358">
        <v>0.12597964878607251</v>
      </c>
      <c r="U31" s="358">
        <v>0.12359760469276819</v>
      </c>
      <c r="V31" s="358">
        <v>0.12634568251411099</v>
      </c>
      <c r="W31" s="358">
        <v>0.12499019454756936</v>
      </c>
      <c r="X31" s="358">
        <v>0.12391241860972134</v>
      </c>
      <c r="Y31" s="358">
        <v>0.11101727795233222</v>
      </c>
      <c r="Z31" s="360">
        <v>0.115</v>
      </c>
      <c r="AA31" s="360">
        <v>0.1171</v>
      </c>
      <c r="AB31" s="360">
        <v>0.11840000000000001</v>
      </c>
      <c r="AC31" s="358">
        <v>0.126</v>
      </c>
      <c r="AD31" s="360">
        <v>0.13170000000000001</v>
      </c>
      <c r="AE31" s="360">
        <v>0.13270000000000001</v>
      </c>
      <c r="AF31" s="360">
        <v>0.1411</v>
      </c>
      <c r="AG31" s="360">
        <v>0.1386</v>
      </c>
      <c r="AH31" s="360">
        <v>0.14649999999999999</v>
      </c>
      <c r="AI31" s="360">
        <v>0.14510000000000001</v>
      </c>
      <c r="AJ31" s="360">
        <v>0.1477</v>
      </c>
      <c r="AK31" s="360">
        <v>0.16</v>
      </c>
      <c r="AL31" s="360">
        <v>0.16769999999999999</v>
      </c>
      <c r="AM31" s="360">
        <v>0.16500000000000001</v>
      </c>
      <c r="AN31" s="360">
        <v>0.1643</v>
      </c>
      <c r="AO31" s="360">
        <v>0.16120000000000001</v>
      </c>
      <c r="AP31" s="360">
        <v>0.17069999999999999</v>
      </c>
      <c r="AQ31" s="384">
        <v>0.1754</v>
      </c>
    </row>
    <row r="32" spans="1:43" ht="15.95" customHeight="1">
      <c r="A32" s="379" t="s">
        <v>689</v>
      </c>
      <c r="B32" s="349" t="s">
        <v>669</v>
      </c>
      <c r="C32" s="349"/>
      <c r="D32" s="385" t="s">
        <v>691</v>
      </c>
      <c r="E32" s="385" t="s">
        <v>691</v>
      </c>
      <c r="F32" s="385" t="s">
        <v>691</v>
      </c>
      <c r="G32" s="357">
        <v>7.5999999999999998E-2</v>
      </c>
      <c r="H32" s="385" t="s">
        <v>691</v>
      </c>
      <c r="I32" s="385" t="s">
        <v>691</v>
      </c>
      <c r="J32" s="385" t="s">
        <v>691</v>
      </c>
      <c r="K32" s="357">
        <v>8.0333452009570996E-2</v>
      </c>
      <c r="L32" s="357">
        <v>7.4923502986042001E-2</v>
      </c>
      <c r="M32" s="357">
        <v>7.6348092928754996E-2</v>
      </c>
      <c r="N32" s="357">
        <v>8.0589033709252994E-2</v>
      </c>
      <c r="O32" s="357">
        <v>8.0093779473809995E-2</v>
      </c>
      <c r="P32" s="1237">
        <f>'10a_Jakość portf._Port qual_OLD'!P32</f>
        <v>8.2457717904796543E-2</v>
      </c>
      <c r="Q32" s="1237">
        <f>'10a_Jakość portf._Port qual_OLD'!Q32</f>
        <v>8.438557480264168E-2</v>
      </c>
      <c r="R32" s="1237">
        <f>'10a_Jakość portf._Port qual_OLD'!R32</f>
        <v>8.6136325296710725E-2</v>
      </c>
      <c r="S32" s="357">
        <v>8.9292086483362371E-2</v>
      </c>
      <c r="T32" s="357">
        <v>9.2100000000000001E-2</v>
      </c>
      <c r="U32" s="357">
        <v>9.0700000000000003E-2</v>
      </c>
      <c r="V32" s="358">
        <v>8.5999999999999993E-2</v>
      </c>
      <c r="W32" s="358">
        <v>8.2299989397528042E-2</v>
      </c>
      <c r="X32" s="358">
        <v>8.0764059646193459E-2</v>
      </c>
      <c r="Y32" s="358">
        <v>7.1705345757185068E-2</v>
      </c>
      <c r="Z32" s="360">
        <v>7.0499999999999993E-2</v>
      </c>
      <c r="AA32" s="360">
        <v>6.9199999999999998E-2</v>
      </c>
      <c r="AB32" s="360">
        <v>6.7900000000000002E-2</v>
      </c>
      <c r="AC32" s="358">
        <v>6.8500000000000005E-2</v>
      </c>
      <c r="AD32" s="360">
        <v>6.9400000000000003E-2</v>
      </c>
      <c r="AE32" s="360">
        <v>6.59E-2</v>
      </c>
      <c r="AF32" s="360">
        <v>6.6000000000000003E-2</v>
      </c>
      <c r="AG32" s="360">
        <v>6.5199999999999994E-2</v>
      </c>
      <c r="AH32" s="360">
        <v>6.2100000000000002E-2</v>
      </c>
      <c r="AI32" s="360">
        <v>5.8599999999999999E-2</v>
      </c>
      <c r="AJ32" s="360">
        <v>5.8700000000000002E-2</v>
      </c>
      <c r="AK32" s="360">
        <v>5.6899999999999999E-2</v>
      </c>
      <c r="AL32" s="360">
        <v>5.6099999999999997E-2</v>
      </c>
      <c r="AM32" s="1298">
        <v>5.4699999999999999E-2</v>
      </c>
      <c r="AN32" s="1298">
        <v>5.3699999999999998E-2</v>
      </c>
      <c r="AO32" s="1298">
        <v>5.21E-2</v>
      </c>
      <c r="AP32" s="1298">
        <v>4.9299999999999997E-2</v>
      </c>
      <c r="AQ32" s="1299">
        <v>4.87E-2</v>
      </c>
    </row>
    <row r="33" spans="1:90" ht="15.95" customHeight="1">
      <c r="A33" s="379" t="s">
        <v>868</v>
      </c>
      <c r="B33" s="349" t="s">
        <v>670</v>
      </c>
      <c r="C33" s="349"/>
      <c r="D33" s="380" t="s">
        <v>691</v>
      </c>
      <c r="E33" s="380" t="s">
        <v>691</v>
      </c>
      <c r="F33" s="380" t="s">
        <v>691</v>
      </c>
      <c r="G33" s="357">
        <v>0.43226385160543002</v>
      </c>
      <c r="H33" s="385" t="s">
        <v>691</v>
      </c>
      <c r="I33" s="385" t="s">
        <v>691</v>
      </c>
      <c r="J33" s="385" t="s">
        <v>691</v>
      </c>
      <c r="K33" s="357">
        <v>0.44609096906139301</v>
      </c>
      <c r="L33" s="357">
        <v>0.50741624091545101</v>
      </c>
      <c r="M33" s="357">
        <v>0.49150999082861502</v>
      </c>
      <c r="N33" s="357">
        <v>0.48188806365297898</v>
      </c>
      <c r="O33" s="357">
        <v>0.47962462701155401</v>
      </c>
      <c r="P33" s="1237">
        <f>'10a_Jakość portf._Port qual_OLD'!P33</f>
        <v>0.49403645594528667</v>
      </c>
      <c r="Q33" s="1237">
        <f>'10a_Jakość portf._Port qual_OLD'!Q33</f>
        <v>0.48519454946217522</v>
      </c>
      <c r="R33" s="1237">
        <f>'10a_Jakość portf._Port qual_OLD'!R33</f>
        <v>0.50518983867134393</v>
      </c>
      <c r="S33" s="357">
        <v>0.50505184889374044</v>
      </c>
      <c r="T33" s="357">
        <v>0.50647537714214463</v>
      </c>
      <c r="U33" s="357">
        <v>0.51245643463368273</v>
      </c>
      <c r="V33" s="357">
        <v>0.51419933309614219</v>
      </c>
      <c r="W33" s="357">
        <v>0.51711359732465989</v>
      </c>
      <c r="X33" s="357">
        <v>0.52469838710387728</v>
      </c>
      <c r="Y33" s="357">
        <v>0.55711844247406295</v>
      </c>
      <c r="Z33" s="359">
        <v>0.58099999999999996</v>
      </c>
      <c r="AA33" s="359">
        <v>0.61819999999999997</v>
      </c>
      <c r="AB33" s="359">
        <v>0.62809999999999999</v>
      </c>
      <c r="AC33" s="357">
        <v>0.62919999999999998</v>
      </c>
      <c r="AD33" s="359">
        <v>0.6351</v>
      </c>
      <c r="AE33" s="359">
        <v>0.63260000000000005</v>
      </c>
      <c r="AF33" s="359">
        <v>0.64600000000000002</v>
      </c>
      <c r="AG33" s="359">
        <v>0.64980000000000004</v>
      </c>
      <c r="AH33" s="359">
        <v>0.65280000000000005</v>
      </c>
      <c r="AI33" s="359">
        <v>0.65490000000000004</v>
      </c>
      <c r="AJ33" s="359">
        <v>0.66500000000000004</v>
      </c>
      <c r="AK33" s="359">
        <v>0.67100000000000004</v>
      </c>
      <c r="AL33" s="359">
        <v>0.68589999999999995</v>
      </c>
      <c r="AM33" s="359">
        <v>0.67</v>
      </c>
      <c r="AN33" s="359">
        <v>0.754</v>
      </c>
      <c r="AO33" s="359">
        <v>0.77500000000000002</v>
      </c>
      <c r="AP33" s="359">
        <v>0.76200000000000001</v>
      </c>
      <c r="AQ33" s="371">
        <v>0.74</v>
      </c>
    </row>
    <row r="34" spans="1:90" ht="15.95" customHeight="1">
      <c r="A34" s="379" t="s">
        <v>686</v>
      </c>
      <c r="B34" s="381" t="s">
        <v>703</v>
      </c>
      <c r="C34" s="381"/>
      <c r="D34" s="360">
        <v>1.3299999999999999E-2</v>
      </c>
      <c r="E34" s="360">
        <v>1.4200000000000001E-2</v>
      </c>
      <c r="F34" s="360">
        <v>1.3100000000000001E-2</v>
      </c>
      <c r="G34" s="358">
        <v>1.5756025831361303E-2</v>
      </c>
      <c r="H34" s="358">
        <v>1.4544581629634637E-2</v>
      </c>
      <c r="I34" s="358">
        <v>1.3914730283764824E-2</v>
      </c>
      <c r="J34" s="358">
        <v>1.5434181632270168E-2</v>
      </c>
      <c r="K34" s="358">
        <v>1.0919020327680624E-2</v>
      </c>
      <c r="L34" s="358">
        <v>1.236147286827693E-2</v>
      </c>
      <c r="M34" s="358">
        <v>1.2107148611195703E-2</v>
      </c>
      <c r="N34" s="358">
        <v>1.3269168344297375E-2</v>
      </c>
      <c r="O34" s="358">
        <v>1.4219647365506743E-2</v>
      </c>
      <c r="P34" s="358">
        <v>1.411439640471095E-2</v>
      </c>
      <c r="Q34" s="358">
        <v>1.394611150292796E-2</v>
      </c>
      <c r="R34" s="358">
        <v>1.5335456172242124E-2</v>
      </c>
      <c r="S34" s="358">
        <v>1.4486774912840296E-2</v>
      </c>
      <c r="T34" s="1310">
        <v>1.2699999999999999E-2</v>
      </c>
      <c r="U34" s="1310">
        <v>1.18E-2</v>
      </c>
      <c r="V34" s="1310">
        <v>1.2699999999999999E-2</v>
      </c>
      <c r="W34" s="1310">
        <v>1.5100000000000001E-2</v>
      </c>
      <c r="X34" s="1310">
        <v>1.06E-2</v>
      </c>
      <c r="Y34" s="1310">
        <v>1.1299999999999999E-2</v>
      </c>
      <c r="Z34" s="1311">
        <v>7.9000000000000008E-3</v>
      </c>
      <c r="AA34" s="360">
        <v>9.3118279680701448E-3</v>
      </c>
      <c r="AB34" s="360">
        <v>7.4946671986978282E-3</v>
      </c>
      <c r="AC34" s="358">
        <v>7.9843543387587475E-3</v>
      </c>
      <c r="AD34" s="360">
        <v>6.3E-3</v>
      </c>
      <c r="AE34" s="360">
        <v>7.1576048834669876E-3</v>
      </c>
      <c r="AF34" s="360">
        <v>7.0361484248054008E-3</v>
      </c>
      <c r="AG34" s="360">
        <v>7.6240054117186025E-3</v>
      </c>
      <c r="AH34" s="360">
        <v>7.3553311870433666E-3</v>
      </c>
      <c r="AI34" s="360">
        <v>8.0808291137739567E-3</v>
      </c>
      <c r="AJ34" s="360">
        <v>7.4031494957889216E-3</v>
      </c>
      <c r="AK34" s="360">
        <v>7.0996009163332274E-3</v>
      </c>
      <c r="AL34" s="360">
        <v>7.3438189875834319E-3</v>
      </c>
      <c r="AM34" s="360">
        <v>6.6633613018052375E-3</v>
      </c>
      <c r="AN34" s="360">
        <v>6.3595117413672003E-3</v>
      </c>
      <c r="AO34" s="360">
        <v>6.4999999999999997E-3</v>
      </c>
      <c r="AP34" s="360">
        <v>5.7999999999999996E-3</v>
      </c>
      <c r="AQ34" s="384">
        <v>5.1000000000000004E-3</v>
      </c>
    </row>
    <row r="35" spans="1:90" ht="15.95" customHeight="1">
      <c r="A35" s="348" t="s">
        <v>806</v>
      </c>
      <c r="B35" s="370" t="s">
        <v>665</v>
      </c>
      <c r="C35" s="370"/>
      <c r="D35" s="358">
        <v>3.7000000000000002E-3</v>
      </c>
      <c r="E35" s="358">
        <v>7.4000000000000003E-3</v>
      </c>
      <c r="F35" s="358">
        <v>1.0500000000000001E-2</v>
      </c>
      <c r="G35" s="358">
        <v>1.4112845567160999E-2</v>
      </c>
      <c r="H35" s="358">
        <v>1.4420616659988001E-2</v>
      </c>
      <c r="I35" s="358">
        <v>1.4319044392361001E-2</v>
      </c>
      <c r="J35" s="358">
        <v>1.4917064738469E-2</v>
      </c>
      <c r="K35" s="358">
        <v>1.3663416972424E-2</v>
      </c>
      <c r="L35" s="358">
        <v>1.3159722832734E-2</v>
      </c>
      <c r="M35" s="358">
        <v>1.2678583131084E-2</v>
      </c>
      <c r="N35" s="358">
        <v>1.2178843275562E-2</v>
      </c>
      <c r="O35" s="358">
        <v>1.3008315985528001E-2</v>
      </c>
      <c r="P35" s="358">
        <v>1.3479535967947258E-2</v>
      </c>
      <c r="Q35" s="358">
        <v>1.3925673276795133E-2</v>
      </c>
      <c r="R35" s="358">
        <v>1.4403744863447688E-2</v>
      </c>
      <c r="S35" s="358">
        <v>1.4452528452212629E-2</v>
      </c>
      <c r="T35" s="358">
        <v>1.4040835134773388E-2</v>
      </c>
      <c r="U35" s="358">
        <v>1.3493981672272963E-2</v>
      </c>
      <c r="V35" s="358">
        <v>1.2898649518156325E-2</v>
      </c>
      <c r="W35" s="358">
        <v>1.3115033620340432E-2</v>
      </c>
      <c r="X35" s="358">
        <v>1.2577150488360845E-2</v>
      </c>
      <c r="Y35" s="358">
        <v>1.2076552022771133E-2</v>
      </c>
      <c r="Z35" s="360">
        <v>1.09E-2</v>
      </c>
      <c r="AA35" s="360">
        <v>9.5999999999999992E-3</v>
      </c>
      <c r="AB35" s="360">
        <v>8.9999999999999993E-3</v>
      </c>
      <c r="AC35" s="358">
        <v>8.2000000000000007E-3</v>
      </c>
      <c r="AD35" s="360">
        <v>7.7999999999999996E-3</v>
      </c>
      <c r="AE35" s="360">
        <v>7.1999999999999998E-3</v>
      </c>
      <c r="AF35" s="360">
        <v>7.1999999999999998E-3</v>
      </c>
      <c r="AG35" s="360">
        <v>7.0000000000000001E-3</v>
      </c>
      <c r="AH35" s="360">
        <v>7.3000000000000001E-3</v>
      </c>
      <c r="AI35" s="360">
        <v>7.4999999999999997E-3</v>
      </c>
      <c r="AJ35" s="360">
        <v>7.6E-3</v>
      </c>
      <c r="AK35" s="360">
        <v>7.4000000000000003E-3</v>
      </c>
      <c r="AL35" s="360">
        <v>7.4000000000000003E-3</v>
      </c>
      <c r="AM35" s="360">
        <v>7.1000000000000004E-3</v>
      </c>
      <c r="AN35" s="360">
        <v>6.8999999999999999E-3</v>
      </c>
      <c r="AO35" s="360">
        <v>6.7000000000000002E-3</v>
      </c>
      <c r="AP35" s="360">
        <v>6.3E-3</v>
      </c>
      <c r="AQ35" s="384">
        <v>5.8999999999999999E-3</v>
      </c>
    </row>
    <row r="36" spans="1:90" ht="15.95" customHeight="1">
      <c r="A36" s="348" t="s">
        <v>666</v>
      </c>
      <c r="B36" s="370" t="s">
        <v>704</v>
      </c>
      <c r="C36" s="370"/>
      <c r="D36" s="358">
        <f>'9a_Kredyty Loans_OLD'!D6/'8_Bilans_Balance sheet'!D46</f>
        <v>0.99509166972246454</v>
      </c>
      <c r="E36" s="358">
        <f>'9a_Kredyty Loans_OLD'!E6/'8_Bilans_Balance sheet'!E46</f>
        <v>0.97493741636174147</v>
      </c>
      <c r="F36" s="358">
        <f>'9a_Kredyty Loans_OLD'!F6/'8_Bilans_Balance sheet'!F46</f>
        <v>0.97845936627543018</v>
      </c>
      <c r="G36" s="358">
        <f>'9a_Kredyty Loans_OLD'!G6/'8_Bilans_Balance sheet'!G46</f>
        <v>0.96351548769136575</v>
      </c>
      <c r="H36" s="358">
        <f>'9a_Kredyty Loans_OLD'!H6/'8_Bilans_Balance sheet'!H46</f>
        <v>0.99433744697316739</v>
      </c>
      <c r="I36" s="358">
        <f>'9a_Kredyty Loans_OLD'!I6/'8_Bilans_Balance sheet'!I46</f>
        <v>0.99946769863735718</v>
      </c>
      <c r="J36" s="358">
        <f>'9a_Kredyty Loans_OLD'!J6/'8_Bilans_Balance sheet'!J46</f>
        <v>0.99924056096962288</v>
      </c>
      <c r="K36" s="358">
        <f>'9a_Kredyty Loans_OLD'!K6/'8_Bilans_Balance sheet'!K46</f>
        <v>1.0191273180952662</v>
      </c>
      <c r="L36" s="358">
        <f>'9a_Kredyty Loans_OLD'!L6/'8_Bilans_Balance sheet'!L46</f>
        <v>1.0154001442065306</v>
      </c>
      <c r="M36" s="358">
        <f>'9a_Kredyty Loans_OLD'!M6/'8_Bilans_Balance sheet'!M46</f>
        <v>1.0134951998399522</v>
      </c>
      <c r="N36" s="358">
        <f>'9a_Kredyty Loans_OLD'!N6/'8_Bilans_Balance sheet'!N46</f>
        <v>1.0096384173908566</v>
      </c>
      <c r="O36" s="358">
        <f>'9a_Kredyty Loans_OLD'!O6/'8_Bilans_Balance sheet'!O46</f>
        <v>1.0048718578164135</v>
      </c>
      <c r="P36" s="358">
        <f>'9a_Kredyty Loans_OLD'!P6/'8_Bilans_Balance sheet'!P46</f>
        <v>1.0106790213796233</v>
      </c>
      <c r="Q36" s="358">
        <f>'9a_Kredyty Loans_OLD'!Q6/'8_Bilans_Balance sheet'!Q46</f>
        <v>0.99901799148159887</v>
      </c>
      <c r="R36" s="358">
        <f>'9a_Kredyty Loans_OLD'!R6/'8_Bilans_Balance sheet'!R46</f>
        <v>1.01095507450217</v>
      </c>
      <c r="S36" s="358">
        <f>'9a_Kredyty Loans_OLD'!S6/'8_Bilans_Balance sheet'!S46</f>
        <v>1.0135960425619266</v>
      </c>
      <c r="T36" s="358">
        <f>'9a_Kredyty Loans_OLD'!T6/'8_Bilans_Balance sheet'!T46</f>
        <v>1.0187321469344996</v>
      </c>
      <c r="U36" s="358">
        <f>'9a_Kredyty Loans_OLD'!U6/'8_Bilans_Balance sheet'!U46</f>
        <v>1.0285074707841695</v>
      </c>
      <c r="V36" s="358">
        <f>'9a_Kredyty Loans_OLD'!V6/'8_Bilans_Balance sheet'!V46</f>
        <v>1.014261386645027</v>
      </c>
      <c r="W36" s="358">
        <f>'9a_Kredyty Loans_OLD'!W6/'8_Bilans_Balance sheet'!W46</f>
        <v>1.0026909595069013</v>
      </c>
      <c r="X36" s="358">
        <f>'9a_Kredyty Loans_OLD'!X6/'8_Bilans_Balance sheet'!X46</f>
        <v>1.0099213949109496</v>
      </c>
      <c r="Y36" s="358">
        <f>'9a_Kredyty Loans_OLD'!Y6/'8_Bilans_Balance sheet'!Y46</f>
        <v>1.0476870111263623</v>
      </c>
      <c r="Z36" s="360">
        <f>'9a_Kredyty Loans_OLD'!Z6/'8_Bilans_Balance sheet'!Z46</f>
        <v>1.0542314991667436</v>
      </c>
      <c r="AA36" s="360">
        <f>'9a_Kredyty Loans_OLD'!AA6/'8_Bilans_Balance sheet'!AA46</f>
        <v>1.0452486342914347</v>
      </c>
      <c r="AB36" s="360">
        <f>'9a_Kredyty Loans_OLD'!AB6/'8_Bilans_Balance sheet'!AB46</f>
        <v>1.0393480591719535</v>
      </c>
      <c r="AC36" s="358">
        <f>'9a_Kredyty Loans_OLD'!AC6/'8_Bilans_Balance sheet'!AC46</f>
        <v>1.0490437868443363</v>
      </c>
      <c r="AD36" s="360">
        <f>'9a_Kredyty Loans_OLD'!AD6/'8_Bilans_Balance sheet'!AD46</f>
        <v>1.0552643119215366</v>
      </c>
      <c r="AE36" s="360">
        <f>'9a_Kredyty Loans_OLD'!AE6/'8_Bilans_Balance sheet'!AE46</f>
        <v>0.93572509747101029</v>
      </c>
      <c r="AF36" s="360">
        <f>'9a_Kredyty Loans_OLD'!AF6/'8_Bilans_Balance sheet'!AF46</f>
        <v>0.94605678169167196</v>
      </c>
      <c r="AG36" s="360">
        <f>'9a_Kredyty Loans_OLD'!AG6/'8_Bilans_Balance sheet'!AG46</f>
        <v>0.93977909753960864</v>
      </c>
      <c r="AH36" s="360">
        <f>'9a_Kredyty Loans_OLD'!AH6/'8_Bilans_Balance sheet'!AH46</f>
        <v>0.93645205982802793</v>
      </c>
      <c r="AI36" s="360">
        <f>'9a_Kredyty Loans_OLD'!AI6/'8_Bilans_Balance sheet'!AI46</f>
        <v>0.9252417753469121</v>
      </c>
      <c r="AJ36" s="360">
        <f>'9a_Kredyty Loans_OLD'!AJ6/'8_Bilans_Balance sheet'!AJ46</f>
        <v>0.91745688406496839</v>
      </c>
      <c r="AK36" s="360">
        <f>'9a_Kredyty Loans_OLD'!AK6/'8_Bilans_Balance sheet'!AK46</f>
        <v>0.94121053037906277</v>
      </c>
      <c r="AL36" s="360">
        <f>'9a_Kredyty Loans_OLD'!AL6/'8_Bilans_Balance sheet'!AL46</f>
        <v>0.93382868425194221</v>
      </c>
      <c r="AM36" s="360">
        <f>'9a_Kredyty Loans_OLD'!AM6/'8_Bilans_Balance sheet'!AM46</f>
        <v>0.88239474553791697</v>
      </c>
      <c r="AN36" s="360">
        <f>'9_Kredyty_Loans'!AN25/'8_Bilans_Balance sheet'!AN46</f>
        <v>0.97760555974670238</v>
      </c>
      <c r="AO36" s="360">
        <f>'9_Kredyty_Loans'!AO25/'8_Bilans_Balance sheet'!AO46</f>
        <v>0.98753238932885656</v>
      </c>
      <c r="AP36" s="360">
        <f>'9_Kredyty_Loans'!AP25/'8_Bilans_Balance sheet'!AP46</f>
        <v>0.9751126909763006</v>
      </c>
      <c r="AQ36" s="384">
        <f>'9_Kredyty_Loans'!AQ25/'8_Bilans_Balance sheet'!AQ46</f>
        <v>0.91886448998418557</v>
      </c>
    </row>
    <row r="37" spans="1:90" s="404" customFormat="1" ht="14.25" customHeight="1">
      <c r="A37" s="408"/>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5"/>
      <c r="Z37" s="5"/>
      <c r="AA37" s="5"/>
      <c r="AB37" s="53"/>
      <c r="AC37" s="5"/>
      <c r="AD37" s="5"/>
      <c r="AE37" s="5"/>
      <c r="AF37" s="5"/>
      <c r="AG37" s="5"/>
      <c r="AH37" s="5"/>
      <c r="AI37" s="5"/>
      <c r="AJ37" s="5"/>
      <c r="AK37" s="5"/>
      <c r="AL37" s="5"/>
      <c r="AM37" s="5"/>
      <c r="AN37" s="5"/>
      <c r="AO37" s="5"/>
      <c r="AP37" s="5"/>
      <c r="AQ37" s="5"/>
    </row>
    <row r="38" spans="1:90" ht="51.75" customHeight="1">
      <c r="A38" s="1335" t="s">
        <v>84</v>
      </c>
      <c r="B38" s="1336" t="s">
        <v>159</v>
      </c>
      <c r="C38" s="1172"/>
      <c r="D38" s="1306"/>
      <c r="E38" s="1306"/>
      <c r="F38" s="1306"/>
      <c r="G38" s="1306"/>
      <c r="H38" s="1306"/>
      <c r="I38" s="1306"/>
      <c r="J38" s="1306"/>
      <c r="K38" s="1306"/>
      <c r="L38" s="1306"/>
      <c r="M38" s="1306"/>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06"/>
      <c r="AK38" s="1306"/>
      <c r="AL38" s="1306"/>
      <c r="AM38" s="1306"/>
      <c r="AN38" s="1306"/>
      <c r="AO38" s="1306"/>
      <c r="AP38" s="1306"/>
      <c r="AQ38" s="1306"/>
    </row>
    <row r="39" spans="1:90" ht="41.25" customHeight="1">
      <c r="A39" s="1335" t="s">
        <v>85</v>
      </c>
      <c r="B39" s="1336" t="s">
        <v>160</v>
      </c>
      <c r="C39" s="1172"/>
      <c r="D39" s="409"/>
      <c r="E39" s="409"/>
      <c r="F39" s="409"/>
      <c r="G39" s="10"/>
      <c r="H39" s="10"/>
      <c r="I39" s="10"/>
      <c r="J39" s="10"/>
      <c r="K39" s="10"/>
      <c r="L39" s="10"/>
      <c r="M39" s="10"/>
      <c r="N39" s="10"/>
      <c r="O39" s="10"/>
      <c r="P39" s="10"/>
      <c r="Q39" s="10"/>
      <c r="R39" s="10"/>
      <c r="S39" s="10"/>
      <c r="T39" s="10"/>
      <c r="U39" s="10"/>
      <c r="V39" s="10"/>
      <c r="W39" s="10"/>
      <c r="X39" s="10"/>
      <c r="Y39" s="5"/>
      <c r="Z39" s="5"/>
      <c r="AA39" s="5"/>
      <c r="AB39" s="5"/>
      <c r="AC39" s="5"/>
      <c r="AD39" s="5"/>
      <c r="AE39" s="5"/>
      <c r="AF39" s="5"/>
      <c r="AG39" s="5"/>
      <c r="AH39" s="5"/>
      <c r="AI39" s="5"/>
      <c r="AJ39" s="5"/>
      <c r="AK39" s="5"/>
      <c r="AL39" s="5"/>
      <c r="AM39" s="5"/>
      <c r="AN39" s="5"/>
      <c r="AO39" s="5"/>
      <c r="AP39" s="5"/>
      <c r="AQ39" s="5"/>
    </row>
    <row r="40" spans="1:90" ht="38.25" customHeight="1">
      <c r="A40" s="1335" t="s">
        <v>86</v>
      </c>
      <c r="B40" s="1336" t="s">
        <v>162</v>
      </c>
      <c r="C40" s="1172"/>
      <c r="D40" s="409"/>
      <c r="E40" s="409"/>
      <c r="F40" s="409"/>
      <c r="G40" s="10"/>
      <c r="H40" s="10"/>
      <c r="I40" s="10"/>
      <c r="J40" s="10"/>
      <c r="K40" s="10"/>
      <c r="L40" s="10"/>
      <c r="M40" s="10"/>
      <c r="N40" s="10"/>
      <c r="O40" s="10"/>
      <c r="P40" s="10"/>
      <c r="Q40" s="10"/>
      <c r="R40" s="10"/>
      <c r="S40" s="10"/>
      <c r="T40" s="10"/>
      <c r="U40" s="10"/>
      <c r="V40" s="10"/>
      <c r="W40" s="10"/>
      <c r="X40" s="10"/>
      <c r="Y40" s="5"/>
      <c r="Z40" s="5"/>
      <c r="AA40" s="5"/>
      <c r="AB40" s="5"/>
      <c r="AC40" s="5"/>
      <c r="AD40" s="5"/>
      <c r="AE40" s="5"/>
      <c r="AF40" s="5"/>
      <c r="AG40" s="5"/>
      <c r="AH40" s="5"/>
      <c r="AI40" s="5"/>
      <c r="AJ40" s="5"/>
      <c r="AK40" s="5"/>
      <c r="AL40" s="5"/>
      <c r="AM40" s="5"/>
      <c r="AN40" s="5"/>
      <c r="AO40" s="5"/>
      <c r="AP40" s="5"/>
      <c r="AQ40" s="5"/>
    </row>
    <row r="41" spans="1:90" ht="85.5" customHeight="1">
      <c r="A41" s="1335" t="s">
        <v>869</v>
      </c>
      <c r="B41" s="1336" t="s">
        <v>870</v>
      </c>
      <c r="C41" s="1172"/>
      <c r="D41" s="409"/>
      <c r="E41" s="409"/>
      <c r="F41" s="409"/>
      <c r="G41" s="10"/>
      <c r="H41" s="10"/>
      <c r="I41" s="10"/>
      <c r="J41" s="10"/>
      <c r="K41" s="10"/>
      <c r="L41" s="10"/>
      <c r="M41" s="10"/>
      <c r="N41" s="10"/>
      <c r="O41" s="10"/>
      <c r="P41" s="10"/>
      <c r="Q41" s="10"/>
      <c r="R41" s="10"/>
      <c r="S41" s="10"/>
      <c r="T41" s="10"/>
      <c r="U41" s="10"/>
      <c r="V41" s="10"/>
      <c r="W41" s="10"/>
      <c r="X41" s="10"/>
      <c r="Y41" s="5"/>
      <c r="Z41" s="5"/>
      <c r="AA41" s="5"/>
      <c r="AB41" s="5"/>
      <c r="AC41" s="5"/>
      <c r="AD41" s="5"/>
      <c r="AE41" s="5"/>
      <c r="AF41" s="5"/>
      <c r="AG41" s="5"/>
      <c r="AH41" s="5"/>
      <c r="AI41" s="5"/>
      <c r="AJ41" s="5"/>
      <c r="AK41" s="5"/>
      <c r="AL41" s="5"/>
      <c r="AM41" s="5"/>
      <c r="AN41" s="5"/>
      <c r="AO41" s="5"/>
      <c r="AP41" s="5"/>
      <c r="AQ41" s="5"/>
    </row>
    <row r="42" spans="1:90" ht="33.75">
      <c r="A42" s="1335" t="s">
        <v>87</v>
      </c>
      <c r="B42" s="1336" t="s">
        <v>163</v>
      </c>
      <c r="C42" s="1172"/>
      <c r="D42" s="409"/>
      <c r="E42" s="409"/>
      <c r="F42" s="409"/>
      <c r="G42" s="10"/>
      <c r="H42" s="10"/>
      <c r="I42" s="10"/>
      <c r="J42" s="10"/>
      <c r="K42" s="10"/>
      <c r="L42" s="10"/>
      <c r="M42" s="10"/>
      <c r="N42" s="10"/>
      <c r="O42" s="10"/>
      <c r="P42" s="10"/>
      <c r="Q42" s="10"/>
      <c r="R42" s="10"/>
      <c r="S42" s="10"/>
      <c r="T42" s="10"/>
      <c r="U42" s="10"/>
      <c r="V42" s="10"/>
      <c r="W42" s="10"/>
      <c r="X42" s="10"/>
      <c r="Y42" s="5"/>
      <c r="Z42" s="5"/>
      <c r="AA42" s="5"/>
      <c r="AB42" s="5"/>
      <c r="AC42" s="5"/>
      <c r="AD42" s="5"/>
      <c r="AE42" s="5"/>
      <c r="AF42" s="5"/>
      <c r="AG42" s="5"/>
      <c r="AH42" s="5"/>
      <c r="AI42" s="5"/>
      <c r="AJ42" s="5"/>
      <c r="AK42" s="5"/>
      <c r="AL42" s="5"/>
      <c r="AM42" s="5"/>
      <c r="AN42" s="5"/>
      <c r="AO42" s="5"/>
      <c r="AP42" s="5"/>
      <c r="AQ42" s="5"/>
    </row>
    <row r="43" spans="1:90" ht="67.5">
      <c r="A43" s="1335" t="s">
        <v>871</v>
      </c>
      <c r="B43" s="1336" t="s">
        <v>872</v>
      </c>
      <c r="C43" s="1172"/>
      <c r="D43" s="409"/>
      <c r="E43" s="409"/>
      <c r="F43" s="409"/>
      <c r="G43" s="10"/>
      <c r="H43" s="10"/>
      <c r="I43" s="10"/>
      <c r="J43" s="10"/>
      <c r="K43" s="10"/>
      <c r="L43" s="10"/>
      <c r="M43" s="10"/>
      <c r="N43" s="10"/>
      <c r="O43" s="10"/>
      <c r="P43" s="10"/>
      <c r="Q43" s="10"/>
      <c r="R43" s="10"/>
      <c r="S43" s="10"/>
      <c r="T43" s="10"/>
      <c r="U43" s="10"/>
      <c r="V43" s="10"/>
      <c r="W43" s="10"/>
      <c r="X43" s="10"/>
      <c r="Y43" s="5"/>
      <c r="Z43" s="5"/>
      <c r="AA43" s="5"/>
      <c r="AB43" s="5"/>
      <c r="AC43" s="5"/>
      <c r="AD43" s="5"/>
      <c r="AE43" s="5"/>
      <c r="AF43" s="5"/>
      <c r="AG43" s="5"/>
      <c r="AH43" s="5"/>
      <c r="AI43" s="5"/>
      <c r="AJ43" s="5"/>
      <c r="AK43" s="5"/>
      <c r="AL43" s="5"/>
      <c r="AM43" s="5"/>
      <c r="AN43" s="5"/>
      <c r="AO43" s="5"/>
      <c r="AP43" s="5"/>
      <c r="AQ43" s="5"/>
    </row>
    <row r="44" spans="1:90" ht="33.75">
      <c r="A44" s="1335" t="s">
        <v>88</v>
      </c>
      <c r="B44" s="1336" t="s">
        <v>164</v>
      </c>
      <c r="C44" s="1172"/>
      <c r="D44" s="409"/>
      <c r="E44" s="409"/>
      <c r="F44" s="409"/>
      <c r="G44" s="10"/>
      <c r="H44" s="10"/>
      <c r="I44" s="10"/>
      <c r="J44" s="10"/>
      <c r="K44" s="10"/>
      <c r="L44" s="10"/>
      <c r="M44" s="10"/>
      <c r="N44" s="10"/>
      <c r="O44" s="10"/>
      <c r="P44" s="10"/>
      <c r="Q44" s="10"/>
      <c r="R44" s="10"/>
      <c r="S44" s="10"/>
      <c r="T44" s="10"/>
      <c r="U44" s="10"/>
      <c r="V44" s="10"/>
      <c r="W44" s="10"/>
      <c r="X44" s="10"/>
      <c r="Y44" s="5"/>
      <c r="Z44" s="5"/>
      <c r="AA44" s="5"/>
      <c r="AB44" s="5"/>
      <c r="AC44" s="5"/>
      <c r="AD44" s="5"/>
      <c r="AE44" s="5"/>
      <c r="AF44" s="5"/>
      <c r="AG44" s="5"/>
      <c r="AH44" s="5"/>
      <c r="AI44" s="5"/>
      <c r="AJ44" s="5"/>
      <c r="AK44" s="5"/>
      <c r="AL44" s="5"/>
      <c r="AM44" s="5"/>
      <c r="AN44" s="5"/>
      <c r="AO44" s="5"/>
      <c r="AP44" s="5"/>
      <c r="AQ44" s="5"/>
    </row>
    <row r="45" spans="1:90" ht="13.5">
      <c r="A45" s="1171"/>
      <c r="B45" s="1172"/>
      <c r="C45" s="1172"/>
      <c r="D45" s="409"/>
      <c r="E45" s="409"/>
      <c r="F45" s="409"/>
      <c r="G45" s="10"/>
      <c r="H45" s="10"/>
      <c r="I45" s="10"/>
      <c r="J45" s="10"/>
      <c r="K45" s="10"/>
      <c r="L45" s="10"/>
      <c r="M45" s="10"/>
      <c r="N45" s="10"/>
      <c r="O45" s="10"/>
      <c r="P45" s="10"/>
      <c r="Q45" s="10"/>
      <c r="R45" s="10"/>
      <c r="S45" s="10"/>
      <c r="T45" s="10"/>
      <c r="U45" s="10"/>
      <c r="V45" s="10"/>
      <c r="W45" s="10"/>
      <c r="X45" s="10"/>
      <c r="Y45" s="5"/>
      <c r="Z45" s="5"/>
      <c r="AA45" s="5"/>
      <c r="AB45" s="5"/>
      <c r="AC45" s="5"/>
      <c r="AD45" s="5"/>
      <c r="AE45" s="5"/>
      <c r="AF45" s="5"/>
      <c r="AG45" s="5"/>
      <c r="AH45" s="5"/>
      <c r="AI45" s="5"/>
      <c r="AJ45" s="5"/>
      <c r="AK45" s="5"/>
      <c r="AL45" s="5"/>
      <c r="AM45" s="5"/>
      <c r="AN45" s="5"/>
      <c r="AO45" s="5"/>
      <c r="AP45" s="5"/>
      <c r="AQ45" s="5"/>
    </row>
    <row r="46" spans="1:90" s="137" customFormat="1" ht="19.5" customHeight="1">
      <c r="A46" s="35" t="s">
        <v>816</v>
      </c>
      <c r="B46" s="16" t="s">
        <v>818</v>
      </c>
      <c r="C46" s="16"/>
      <c r="D46" s="16"/>
      <c r="E46" s="16"/>
      <c r="F46" s="16"/>
      <c r="G46" s="4"/>
      <c r="H46" s="4"/>
      <c r="I46" s="4"/>
      <c r="J46" s="4"/>
      <c r="K46" s="4"/>
      <c r="L46" s="4"/>
      <c r="M46" s="4"/>
      <c r="N46" s="4"/>
      <c r="O46" s="4"/>
      <c r="P46" s="4"/>
      <c r="Q46" s="4"/>
      <c r="R46" s="4"/>
      <c r="S46" s="4"/>
      <c r="T46" s="4"/>
      <c r="U46" s="4"/>
      <c r="V46" s="4"/>
      <c r="W46" s="4"/>
      <c r="X46" s="4"/>
      <c r="Y46" s="5"/>
      <c r="Z46" s="5"/>
      <c r="AA46" s="5"/>
      <c r="AB46" s="5"/>
      <c r="AC46" s="5"/>
      <c r="AD46" s="5"/>
      <c r="AE46" s="5"/>
      <c r="AF46" s="5"/>
      <c r="AG46" s="5"/>
      <c r="AH46" s="5"/>
      <c r="AI46" s="5"/>
      <c r="AJ46" s="5"/>
      <c r="AK46" s="5"/>
      <c r="AL46" s="5"/>
      <c r="AM46" s="5"/>
      <c r="AN46" s="5"/>
      <c r="AO46" s="5"/>
      <c r="AP46" s="5"/>
      <c r="AQ46" s="39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row>
    <row r="47" spans="1:90" s="1203" customFormat="1" ht="15" customHeight="1" thickBot="1">
      <c r="A47" s="16"/>
      <c r="B47" s="16"/>
      <c r="C47" s="16"/>
      <c r="D47" s="16"/>
      <c r="E47" s="16"/>
      <c r="F47" s="16"/>
      <c r="G47" s="4"/>
      <c r="H47" s="4"/>
      <c r="I47" s="4"/>
      <c r="J47" s="4"/>
      <c r="K47" s="4"/>
      <c r="L47" s="4"/>
      <c r="M47" s="4"/>
      <c r="N47" s="4"/>
      <c r="O47" s="4"/>
      <c r="P47" s="4"/>
      <c r="Q47" s="4"/>
      <c r="R47" s="4"/>
      <c r="S47" s="4"/>
      <c r="T47" s="4"/>
      <c r="U47" s="4"/>
      <c r="V47" s="4"/>
      <c r="W47" s="4"/>
      <c r="X47" s="4"/>
      <c r="Y47" s="5"/>
      <c r="Z47" s="5"/>
      <c r="AA47" s="5"/>
      <c r="AB47" s="5"/>
      <c r="AC47" s="5"/>
      <c r="AD47" s="5"/>
      <c r="AE47" s="5"/>
      <c r="AF47" s="5"/>
      <c r="AG47" s="5"/>
      <c r="AH47" s="5"/>
      <c r="AI47" s="5"/>
      <c r="AJ47" s="5"/>
      <c r="AK47" s="5"/>
      <c r="AL47" s="5"/>
      <c r="AM47" s="5"/>
      <c r="AN47" s="5"/>
      <c r="AO47" s="5"/>
      <c r="AP47" s="5"/>
      <c r="AQ47" s="392"/>
    </row>
    <row r="48" spans="1:90" s="305" customFormat="1" ht="16.5" customHeight="1" thickBot="1">
      <c r="A48" s="305" t="s">
        <v>365</v>
      </c>
      <c r="B48" s="305" t="s">
        <v>182</v>
      </c>
      <c r="D48" s="305" t="s">
        <v>24</v>
      </c>
      <c r="E48" s="305" t="s">
        <v>25</v>
      </c>
      <c r="F48" s="305" t="s">
        <v>26</v>
      </c>
      <c r="G48" s="305" t="s">
        <v>27</v>
      </c>
      <c r="H48" s="305" t="s">
        <v>28</v>
      </c>
      <c r="I48" s="305" t="s">
        <v>29</v>
      </c>
      <c r="J48" s="305" t="s">
        <v>30</v>
      </c>
      <c r="K48" s="305" t="s">
        <v>31</v>
      </c>
      <c r="L48" s="305" t="s">
        <v>32</v>
      </c>
      <c r="M48" s="305" t="s">
        <v>33</v>
      </c>
      <c r="N48" s="305" t="s">
        <v>34</v>
      </c>
      <c r="O48" s="305" t="s">
        <v>35</v>
      </c>
      <c r="P48" s="305" t="s">
        <v>36</v>
      </c>
      <c r="Q48" s="305" t="s">
        <v>37</v>
      </c>
      <c r="R48" s="305" t="s">
        <v>38</v>
      </c>
      <c r="S48" s="305" t="s">
        <v>39</v>
      </c>
      <c r="T48" s="305" t="s">
        <v>40</v>
      </c>
      <c r="U48" s="305" t="s">
        <v>41</v>
      </c>
      <c r="V48" s="305" t="s">
        <v>42</v>
      </c>
      <c r="W48" s="305" t="s">
        <v>43</v>
      </c>
      <c r="X48" s="305" t="s">
        <v>110</v>
      </c>
      <c r="Y48" s="305" t="s">
        <v>111</v>
      </c>
      <c r="Z48" s="305" t="s">
        <v>113</v>
      </c>
      <c r="AA48" s="305" t="s">
        <v>120</v>
      </c>
      <c r="AB48" s="305" t="s">
        <v>114</v>
      </c>
      <c r="AC48" s="305" t="s">
        <v>116</v>
      </c>
      <c r="AD48" s="305" t="s">
        <v>117</v>
      </c>
      <c r="AE48" s="305" t="s">
        <v>119</v>
      </c>
      <c r="AF48" s="305" t="s">
        <v>121</v>
      </c>
      <c r="AG48" s="305" t="s">
        <v>123</v>
      </c>
      <c r="AH48" s="305" t="s">
        <v>124</v>
      </c>
      <c r="AI48" s="305" t="s">
        <v>125</v>
      </c>
      <c r="AJ48" s="305" t="s">
        <v>127</v>
      </c>
      <c r="AK48" s="305" t="s">
        <v>128</v>
      </c>
      <c r="AL48" s="305" t="s">
        <v>129</v>
      </c>
      <c r="AM48" s="305" t="s">
        <v>130</v>
      </c>
      <c r="AN48" s="305" t="s">
        <v>131</v>
      </c>
      <c r="AO48" s="305" t="s">
        <v>223</v>
      </c>
      <c r="AP48" s="305" t="s">
        <v>224</v>
      </c>
      <c r="AQ48" s="305" t="s">
        <v>511</v>
      </c>
    </row>
    <row r="49" spans="1:90" ht="15" customHeight="1">
      <c r="A49" s="321" t="s">
        <v>115</v>
      </c>
      <c r="B49" s="322" t="s">
        <v>823</v>
      </c>
      <c r="C49" s="322"/>
      <c r="D49" s="1207">
        <v>36.549999999999997</v>
      </c>
      <c r="E49" s="1207">
        <v>21.42</v>
      </c>
      <c r="F49" s="1207">
        <v>25.5</v>
      </c>
      <c r="G49" s="1207">
        <v>33.549999999999997</v>
      </c>
      <c r="H49" s="1207">
        <v>38</v>
      </c>
      <c r="I49" s="1207">
        <v>39.950000000000003</v>
      </c>
      <c r="J49" s="1207">
        <v>36.450000000000003</v>
      </c>
      <c r="K49" s="1207">
        <v>44.04</v>
      </c>
      <c r="L49" s="1207">
        <v>43.35</v>
      </c>
      <c r="M49" s="1207">
        <v>43.7</v>
      </c>
      <c r="N49" s="1207">
        <v>42</v>
      </c>
      <c r="O49" s="1207">
        <v>32.9</v>
      </c>
      <c r="P49" s="1207">
        <v>32.119999999999997</v>
      </c>
      <c r="Q49" s="1207">
        <v>33.6</v>
      </c>
      <c r="R49" s="1207">
        <v>34.6</v>
      </c>
      <c r="S49" s="1207">
        <v>35.6</v>
      </c>
      <c r="T49" s="1207">
        <v>36.9</v>
      </c>
      <c r="U49" s="1207">
        <v>34.549999999999997</v>
      </c>
      <c r="V49" s="1207">
        <v>35.6</v>
      </c>
      <c r="W49" s="1205">
        <v>37.1</v>
      </c>
      <c r="X49" s="1205">
        <v>39.42</v>
      </c>
      <c r="Y49" s="1205">
        <v>42.48</v>
      </c>
      <c r="Z49" s="1204">
        <v>37.700000000000003</v>
      </c>
      <c r="AA49" s="1204">
        <v>39.659999999999997</v>
      </c>
      <c r="AB49" s="1204">
        <v>35.76</v>
      </c>
      <c r="AC49" s="1205">
        <v>34</v>
      </c>
      <c r="AD49" s="1204">
        <v>31.12</v>
      </c>
      <c r="AE49" s="1204">
        <v>29.43</v>
      </c>
      <c r="AF49" s="1204">
        <v>27.33</v>
      </c>
      <c r="AG49" s="1204">
        <v>27.8</v>
      </c>
      <c r="AH49" s="1204">
        <v>23.28</v>
      </c>
      <c r="AI49" s="1204">
        <v>26.11</v>
      </c>
      <c r="AJ49" s="1204">
        <v>28.14</v>
      </c>
      <c r="AK49" s="1204">
        <v>32.06</v>
      </c>
      <c r="AL49" s="1204">
        <v>34.46</v>
      </c>
      <c r="AM49" s="1204">
        <v>35.33</v>
      </c>
      <c r="AN49" s="1204">
        <v>44.31</v>
      </c>
      <c r="AO49" s="1204">
        <v>40.44</v>
      </c>
      <c r="AP49" s="1204">
        <v>36.99</v>
      </c>
      <c r="AQ49" s="1202">
        <v>42.9</v>
      </c>
    </row>
    <row r="50" spans="1:90" ht="15" customHeight="1">
      <c r="A50" s="321" t="s">
        <v>824</v>
      </c>
      <c r="B50" s="322" t="s">
        <v>822</v>
      </c>
      <c r="C50" s="322"/>
      <c r="D50" s="1207">
        <v>21.42</v>
      </c>
      <c r="E50" s="1207">
        <v>25.5</v>
      </c>
      <c r="F50" s="1207">
        <v>33.549999999999997</v>
      </c>
      <c r="G50" s="1207">
        <v>38</v>
      </c>
      <c r="H50" s="1207">
        <v>39.950000000000003</v>
      </c>
      <c r="I50" s="1207">
        <v>36.450000000000003</v>
      </c>
      <c r="J50" s="1207">
        <v>44.04</v>
      </c>
      <c r="K50" s="1207">
        <v>43.35</v>
      </c>
      <c r="L50" s="1207">
        <v>43.7</v>
      </c>
      <c r="M50" s="1207">
        <v>42</v>
      </c>
      <c r="N50" s="1207">
        <v>32.9</v>
      </c>
      <c r="O50" s="1207">
        <v>32.119999999999997</v>
      </c>
      <c r="P50" s="1207">
        <v>33.6</v>
      </c>
      <c r="Q50" s="1207">
        <v>34.6</v>
      </c>
      <c r="R50" s="1207">
        <v>35.6</v>
      </c>
      <c r="S50" s="1207">
        <v>36.9</v>
      </c>
      <c r="T50" s="1207">
        <v>34.549999999999997</v>
      </c>
      <c r="U50" s="1207">
        <v>35.6</v>
      </c>
      <c r="V50" s="1207">
        <v>37.1</v>
      </c>
      <c r="W50" s="1205">
        <v>39.42</v>
      </c>
      <c r="X50" s="1205">
        <v>42.48</v>
      </c>
      <c r="Y50" s="1205">
        <v>37.700000000000003</v>
      </c>
      <c r="Z50" s="1204">
        <v>39.659999999999997</v>
      </c>
      <c r="AA50" s="1204">
        <v>35.76</v>
      </c>
      <c r="AB50" s="1204">
        <v>34</v>
      </c>
      <c r="AC50" s="1205">
        <v>31.12</v>
      </c>
      <c r="AD50" s="1204">
        <v>29.43</v>
      </c>
      <c r="AE50" s="1204">
        <v>27.33</v>
      </c>
      <c r="AF50" s="1204">
        <v>27.8</v>
      </c>
      <c r="AG50" s="1204">
        <v>23.28</v>
      </c>
      <c r="AH50" s="1204">
        <v>26.11</v>
      </c>
      <c r="AI50" s="1204">
        <v>28.14</v>
      </c>
      <c r="AJ50" s="1204">
        <v>32.06</v>
      </c>
      <c r="AK50" s="1204">
        <v>34.46</v>
      </c>
      <c r="AL50" s="1204">
        <v>35.33</v>
      </c>
      <c r="AM50" s="1204">
        <v>44.31</v>
      </c>
      <c r="AN50" s="1204">
        <v>40.44</v>
      </c>
      <c r="AO50" s="1204">
        <v>36.99</v>
      </c>
      <c r="AP50" s="1204">
        <v>42.9</v>
      </c>
      <c r="AQ50" s="1202">
        <v>39.47</v>
      </c>
    </row>
    <row r="51" spans="1:90" ht="15" customHeight="1">
      <c r="A51" s="321" t="s">
        <v>821</v>
      </c>
      <c r="B51" s="322" t="s">
        <v>820</v>
      </c>
      <c r="C51" s="322"/>
      <c r="D51" s="319">
        <v>1000</v>
      </c>
      <c r="E51" s="319">
        <v>1000</v>
      </c>
      <c r="F51" s="319">
        <v>1000</v>
      </c>
      <c r="G51" s="319">
        <v>1250</v>
      </c>
      <c r="H51" s="319">
        <v>1250</v>
      </c>
      <c r="I51" s="319">
        <v>1250</v>
      </c>
      <c r="J51" s="319">
        <v>1250</v>
      </c>
      <c r="K51" s="319">
        <v>1250</v>
      </c>
      <c r="L51" s="319">
        <v>1250</v>
      </c>
      <c r="M51" s="319">
        <v>1250</v>
      </c>
      <c r="N51" s="319">
        <v>1250</v>
      </c>
      <c r="O51" s="319">
        <v>1250</v>
      </c>
      <c r="P51" s="319">
        <v>1250</v>
      </c>
      <c r="Q51" s="319">
        <v>1250</v>
      </c>
      <c r="R51" s="319">
        <v>1250</v>
      </c>
      <c r="S51" s="319">
        <v>1250</v>
      </c>
      <c r="T51" s="319">
        <v>1250</v>
      </c>
      <c r="U51" s="319">
        <v>1250</v>
      </c>
      <c r="V51" s="319">
        <v>1250</v>
      </c>
      <c r="W51" s="323">
        <v>1250</v>
      </c>
      <c r="X51" s="323">
        <v>1250</v>
      </c>
      <c r="Y51" s="323">
        <v>1250</v>
      </c>
      <c r="Z51" s="313">
        <v>1250</v>
      </c>
      <c r="AA51" s="313">
        <v>1250</v>
      </c>
      <c r="AB51" s="313">
        <v>1250</v>
      </c>
      <c r="AC51" s="323">
        <v>1250</v>
      </c>
      <c r="AD51" s="313">
        <v>1250</v>
      </c>
      <c r="AE51" s="313">
        <v>1250</v>
      </c>
      <c r="AF51" s="313">
        <v>1250</v>
      </c>
      <c r="AG51" s="313">
        <v>1250</v>
      </c>
      <c r="AH51" s="313">
        <v>1250</v>
      </c>
      <c r="AI51" s="313">
        <v>1250</v>
      </c>
      <c r="AJ51" s="313">
        <v>1250</v>
      </c>
      <c r="AK51" s="313">
        <v>1250</v>
      </c>
      <c r="AL51" s="313">
        <v>1250</v>
      </c>
      <c r="AM51" s="313">
        <v>1250</v>
      </c>
      <c r="AN51" s="313">
        <v>1250</v>
      </c>
      <c r="AO51" s="313">
        <v>1250</v>
      </c>
      <c r="AP51" s="313">
        <v>1250</v>
      </c>
      <c r="AQ51" s="314">
        <v>1250</v>
      </c>
    </row>
    <row r="52" spans="1:90" ht="15" customHeight="1">
      <c r="A52" s="321" t="s">
        <v>827</v>
      </c>
      <c r="B52" s="322" t="s">
        <v>828</v>
      </c>
      <c r="C52" s="322"/>
      <c r="D52" s="319">
        <v>14538.601000000001</v>
      </c>
      <c r="E52" s="319">
        <v>14320.91</v>
      </c>
      <c r="F52" s="319">
        <v>14814.135</v>
      </c>
      <c r="G52" s="319">
        <v>20435.87</v>
      </c>
      <c r="H52" s="319">
        <v>21180.902999999998</v>
      </c>
      <c r="I52" s="319">
        <v>22148.621999999999</v>
      </c>
      <c r="J52" s="319">
        <v>22830.946</v>
      </c>
      <c r="K52" s="319">
        <v>21359.567999999999</v>
      </c>
      <c r="L52" s="319">
        <v>22059.303</v>
      </c>
      <c r="M52" s="319">
        <v>20641.935000000001</v>
      </c>
      <c r="N52" s="319">
        <v>21947.62</v>
      </c>
      <c r="O52" s="319">
        <v>22821.984</v>
      </c>
      <c r="P52" s="319">
        <v>23327.578000000001</v>
      </c>
      <c r="Q52" s="319">
        <v>22719.600999999999</v>
      </c>
      <c r="R52" s="319">
        <v>23490.827000000001</v>
      </c>
      <c r="S52" s="319">
        <v>24436.407999999999</v>
      </c>
      <c r="T52" s="319">
        <v>25156.121999999999</v>
      </c>
      <c r="U52" s="319">
        <v>23399.306</v>
      </c>
      <c r="V52" s="319">
        <v>24183.137999999999</v>
      </c>
      <c r="W52" s="323">
        <v>25154.325000000001</v>
      </c>
      <c r="X52" s="323">
        <v>25938.905999999999</v>
      </c>
      <c r="Y52" s="323">
        <v>26013.648000000001</v>
      </c>
      <c r="Z52" s="313">
        <v>27002.262999999999</v>
      </c>
      <c r="AA52" s="313">
        <v>27615.550999999999</v>
      </c>
      <c r="AB52" s="313">
        <v>28264.835999999999</v>
      </c>
      <c r="AC52" s="323">
        <v>28730.850999999999</v>
      </c>
      <c r="AD52" s="313">
        <v>29577.503000000001</v>
      </c>
      <c r="AE52" s="313">
        <v>30264.913</v>
      </c>
      <c r="AF52" s="313">
        <v>31034.859</v>
      </c>
      <c r="AG52" s="313">
        <v>31588.891</v>
      </c>
      <c r="AH52" s="313">
        <v>32318.741999999998</v>
      </c>
      <c r="AI52" s="313">
        <v>32568.6</v>
      </c>
      <c r="AJ52" s="313">
        <v>33336</v>
      </c>
      <c r="AK52" s="313">
        <v>34223</v>
      </c>
      <c r="AL52" s="313">
        <v>35139</v>
      </c>
      <c r="AM52" s="313">
        <v>36256</v>
      </c>
      <c r="AN52" s="313">
        <v>36557</v>
      </c>
      <c r="AO52" s="313">
        <v>36776</v>
      </c>
      <c r="AP52" s="313">
        <v>37713</v>
      </c>
      <c r="AQ52" s="314">
        <v>39101</v>
      </c>
    </row>
    <row r="53" spans="1:90" s="1" customFormat="1" ht="15" customHeight="1">
      <c r="A53" s="337" t="s">
        <v>817</v>
      </c>
      <c r="B53" s="338" t="s">
        <v>819</v>
      </c>
      <c r="C53" s="338"/>
      <c r="D53" s="1206">
        <f>D52/D51</f>
        <v>14.538601</v>
      </c>
      <c r="E53" s="1206">
        <f t="shared" ref="E53:AQ53" si="0">E52/E51</f>
        <v>14.32091</v>
      </c>
      <c r="F53" s="1206">
        <f t="shared" si="0"/>
        <v>14.814135</v>
      </c>
      <c r="G53" s="1206">
        <f t="shared" si="0"/>
        <v>16.348696</v>
      </c>
      <c r="H53" s="1206">
        <f t="shared" si="0"/>
        <v>16.9447224</v>
      </c>
      <c r="I53" s="1206">
        <f t="shared" si="0"/>
        <v>17.718897599999998</v>
      </c>
      <c r="J53" s="1206">
        <f t="shared" si="0"/>
        <v>18.264756800000001</v>
      </c>
      <c r="K53" s="1206">
        <f t="shared" si="0"/>
        <v>17.087654399999998</v>
      </c>
      <c r="L53" s="1206">
        <f t="shared" si="0"/>
        <v>17.647442399999999</v>
      </c>
      <c r="M53" s="1206">
        <f t="shared" si="0"/>
        <v>16.513548</v>
      </c>
      <c r="N53" s="1206">
        <f t="shared" si="0"/>
        <v>17.558095999999999</v>
      </c>
      <c r="O53" s="1206">
        <f t="shared" si="0"/>
        <v>18.2575872</v>
      </c>
      <c r="P53" s="1206">
        <f t="shared" si="0"/>
        <v>18.6620624</v>
      </c>
      <c r="Q53" s="1206">
        <f t="shared" si="0"/>
        <v>18.175680799999999</v>
      </c>
      <c r="R53" s="1206">
        <f t="shared" si="0"/>
        <v>18.792661600000002</v>
      </c>
      <c r="S53" s="1206">
        <f t="shared" si="0"/>
        <v>19.549126399999999</v>
      </c>
      <c r="T53" s="1206">
        <f t="shared" si="0"/>
        <v>20.124897600000001</v>
      </c>
      <c r="U53" s="1206">
        <f t="shared" si="0"/>
        <v>18.719444800000002</v>
      </c>
      <c r="V53" s="1206">
        <f t="shared" si="0"/>
        <v>19.3465104</v>
      </c>
      <c r="W53" s="1206">
        <f t="shared" si="0"/>
        <v>20.123460000000001</v>
      </c>
      <c r="X53" s="1206">
        <f t="shared" si="0"/>
        <v>20.751124799999999</v>
      </c>
      <c r="Y53" s="1206">
        <f t="shared" si="0"/>
        <v>20.810918400000002</v>
      </c>
      <c r="Z53" s="1206">
        <f t="shared" si="0"/>
        <v>21.601810399999998</v>
      </c>
      <c r="AA53" s="1206">
        <f t="shared" si="0"/>
        <v>22.092440799999999</v>
      </c>
      <c r="AB53" s="1206">
        <f t="shared" si="0"/>
        <v>22.6118688</v>
      </c>
      <c r="AC53" s="1206">
        <f t="shared" si="0"/>
        <v>22.9846808</v>
      </c>
      <c r="AD53" s="1206">
        <f t="shared" si="0"/>
        <v>23.662002400000002</v>
      </c>
      <c r="AE53" s="1206">
        <f t="shared" si="0"/>
        <v>24.2119304</v>
      </c>
      <c r="AF53" s="1206">
        <f t="shared" si="0"/>
        <v>24.827887199999999</v>
      </c>
      <c r="AG53" s="1206">
        <f t="shared" si="0"/>
        <v>25.271112800000001</v>
      </c>
      <c r="AH53" s="1206">
        <f t="shared" si="0"/>
        <v>25.8549936</v>
      </c>
      <c r="AI53" s="1206">
        <f t="shared" si="0"/>
        <v>26.054879999999997</v>
      </c>
      <c r="AJ53" s="1206">
        <f t="shared" si="0"/>
        <v>26.668800000000001</v>
      </c>
      <c r="AK53" s="1206">
        <f t="shared" si="0"/>
        <v>27.378399999999999</v>
      </c>
      <c r="AL53" s="1206">
        <f t="shared" si="0"/>
        <v>28.1112</v>
      </c>
      <c r="AM53" s="1206">
        <f t="shared" si="0"/>
        <v>29.004799999999999</v>
      </c>
      <c r="AN53" s="1206">
        <f t="shared" si="0"/>
        <v>29.2456</v>
      </c>
      <c r="AO53" s="1206">
        <f t="shared" si="0"/>
        <v>29.4208</v>
      </c>
      <c r="AP53" s="1206">
        <f t="shared" si="0"/>
        <v>30.170400000000001</v>
      </c>
      <c r="AQ53" s="1206">
        <f t="shared" si="0"/>
        <v>31.280799999999999</v>
      </c>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row>
    <row r="54" spans="1:90" s="1" customFormat="1" ht="15" customHeight="1">
      <c r="A54" s="337" t="s">
        <v>825</v>
      </c>
      <c r="B54" s="338" t="s">
        <v>826</v>
      </c>
      <c r="C54" s="338"/>
      <c r="D54" s="1206">
        <f>D50/D53</f>
        <v>1.4733192003824853</v>
      </c>
      <c r="E54" s="1206">
        <f t="shared" ref="E54:AQ54" si="1">E50/E53</f>
        <v>1.7806131034969146</v>
      </c>
      <c r="F54" s="1206">
        <f t="shared" si="1"/>
        <v>2.2647289227484424</v>
      </c>
      <c r="G54" s="1206">
        <f t="shared" si="1"/>
        <v>2.3243444003118046</v>
      </c>
      <c r="H54" s="1206">
        <f t="shared" si="1"/>
        <v>2.3576662430303377</v>
      </c>
      <c r="I54" s="1206">
        <f t="shared" si="1"/>
        <v>2.0571257209590739</v>
      </c>
      <c r="J54" s="1206">
        <f t="shared" si="1"/>
        <v>2.41120100761484</v>
      </c>
      <c r="K54" s="1206">
        <f t="shared" si="1"/>
        <v>2.5369192860080321</v>
      </c>
      <c r="L54" s="1206">
        <f t="shared" si="1"/>
        <v>2.4762795089219276</v>
      </c>
      <c r="M54" s="1206">
        <f t="shared" si="1"/>
        <v>2.5433662105805488</v>
      </c>
      <c r="N54" s="1206">
        <f t="shared" si="1"/>
        <v>1.8737794804174668</v>
      </c>
      <c r="O54" s="1206">
        <f t="shared" si="1"/>
        <v>1.7592686069712431</v>
      </c>
      <c r="P54" s="1206">
        <f t="shared" si="1"/>
        <v>1.8004440923957044</v>
      </c>
      <c r="Q54" s="1206">
        <f t="shared" si="1"/>
        <v>1.9036425859767523</v>
      </c>
      <c r="R54" s="1206">
        <f t="shared" si="1"/>
        <v>1.8943564651853251</v>
      </c>
      <c r="S54" s="1206">
        <f t="shared" si="1"/>
        <v>1.8875523767650304</v>
      </c>
      <c r="T54" s="1206">
        <f t="shared" si="1"/>
        <v>1.71677892164778</v>
      </c>
      <c r="U54" s="1206">
        <f t="shared" si="1"/>
        <v>1.9017658045071935</v>
      </c>
      <c r="V54" s="1206">
        <f t="shared" si="1"/>
        <v>1.9176584941127162</v>
      </c>
      <c r="W54" s="1206">
        <f t="shared" si="1"/>
        <v>1.9589076629963236</v>
      </c>
      <c r="X54" s="1206">
        <f t="shared" si="1"/>
        <v>2.0471179470714764</v>
      </c>
      <c r="Y54" s="1206">
        <f t="shared" si="1"/>
        <v>1.8115490760849842</v>
      </c>
      <c r="Z54" s="1206">
        <f t="shared" si="1"/>
        <v>1.8359572306958125</v>
      </c>
      <c r="AA54" s="1206">
        <f t="shared" si="1"/>
        <v>1.6186532001479892</v>
      </c>
      <c r="AB54" s="1206">
        <f t="shared" si="1"/>
        <v>1.5036351175007703</v>
      </c>
      <c r="AC54" s="1206">
        <f t="shared" si="1"/>
        <v>1.3539452764556121</v>
      </c>
      <c r="AD54" s="1206">
        <f t="shared" si="1"/>
        <v>1.2437662503153155</v>
      </c>
      <c r="AE54" s="1206">
        <f t="shared" si="1"/>
        <v>1.128782362599225</v>
      </c>
      <c r="AF54" s="1206">
        <f t="shared" si="1"/>
        <v>1.1197086476210509</v>
      </c>
      <c r="AG54" s="1206">
        <f t="shared" si="1"/>
        <v>0.92120992788255851</v>
      </c>
      <c r="AH54" s="1206">
        <f t="shared" si="1"/>
        <v>1.0098629457792634</v>
      </c>
      <c r="AI54" s="1206">
        <f t="shared" si="1"/>
        <v>1.0800280024317903</v>
      </c>
      <c r="AJ54" s="1206">
        <f t="shared" si="1"/>
        <v>1.2021538276937846</v>
      </c>
      <c r="AK54" s="1206">
        <f t="shared" si="1"/>
        <v>1.2586564591064489</v>
      </c>
      <c r="AL54" s="1206">
        <f t="shared" si="1"/>
        <v>1.2567944449187511</v>
      </c>
      <c r="AM54" s="1206">
        <f t="shared" si="1"/>
        <v>1.5276781774051194</v>
      </c>
      <c r="AN54" s="1206">
        <f t="shared" si="1"/>
        <v>1.3827721093087506</v>
      </c>
      <c r="AO54" s="1206">
        <f t="shared" si="1"/>
        <v>1.2572737654992387</v>
      </c>
      <c r="AP54" s="1206">
        <f t="shared" si="1"/>
        <v>1.4219234746639089</v>
      </c>
      <c r="AQ54" s="1206">
        <f t="shared" si="1"/>
        <v>1.2617963734942841</v>
      </c>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row>
    <row r="55" spans="1:90" s="1302" customFormat="1" ht="15" customHeight="1">
      <c r="A55" s="1303"/>
      <c r="B55" s="1300"/>
      <c r="C55" s="1300"/>
      <c r="D55" s="1301"/>
      <c r="E55" s="1301"/>
      <c r="F55" s="1301"/>
      <c r="G55" s="1301"/>
      <c r="H55" s="1301"/>
      <c r="I55" s="1301"/>
      <c r="J55" s="1301"/>
      <c r="K55" s="1301"/>
      <c r="L55" s="1301"/>
      <c r="M55" s="1301"/>
      <c r="N55" s="1301"/>
      <c r="O55" s="1301"/>
      <c r="P55" s="1301"/>
      <c r="Q55" s="1301"/>
      <c r="R55" s="1301"/>
      <c r="S55" s="1301"/>
      <c r="T55" s="1301"/>
      <c r="U55" s="1301"/>
      <c r="V55" s="1301"/>
      <c r="W55" s="1301"/>
      <c r="X55" s="1301"/>
      <c r="Y55" s="1301"/>
      <c r="Z55" s="1301"/>
      <c r="AA55" s="1301"/>
      <c r="AB55" s="1301"/>
      <c r="AC55" s="1301"/>
      <c r="AD55" s="1301"/>
      <c r="AE55" s="1301"/>
      <c r="AF55" s="1301"/>
      <c r="AG55" s="1301"/>
      <c r="AH55" s="1301"/>
      <c r="AI55" s="1301"/>
      <c r="AJ55" s="1301"/>
      <c r="AK55" s="1301"/>
      <c r="AL55" s="1301"/>
      <c r="AM55" s="1301"/>
      <c r="AN55" s="1301"/>
      <c r="AO55" s="1301"/>
      <c r="AP55" s="1301"/>
      <c r="AQ55" s="1301"/>
    </row>
    <row r="56" spans="1:90" s="1302" customFormat="1" ht="15" customHeight="1" thickBot="1">
      <c r="A56" s="1303"/>
      <c r="B56" s="1300"/>
      <c r="C56" s="1300"/>
      <c r="D56" s="1301"/>
      <c r="E56" s="1301"/>
      <c r="F56" s="1301"/>
      <c r="G56" s="1301"/>
      <c r="H56" s="1301"/>
      <c r="I56" s="1301"/>
      <c r="J56" s="1301"/>
      <c r="K56" s="1301"/>
      <c r="L56" s="1301"/>
      <c r="M56" s="1301"/>
      <c r="N56" s="1301"/>
      <c r="O56" s="1301"/>
      <c r="P56" s="1301"/>
      <c r="Q56" s="1301"/>
      <c r="R56" s="1301"/>
      <c r="S56" s="1301"/>
      <c r="T56" s="1301"/>
      <c r="U56" s="1301"/>
      <c r="V56" s="1301"/>
      <c r="W56" s="1301"/>
      <c r="X56" s="1301"/>
      <c r="Y56" s="1301"/>
      <c r="Z56" s="1301"/>
      <c r="AA56" s="1301"/>
      <c r="AB56" s="1301"/>
      <c r="AC56" s="1301"/>
      <c r="AD56" s="1301"/>
      <c r="AE56" s="1301"/>
      <c r="AF56" s="1301"/>
      <c r="AG56" s="1301"/>
      <c r="AH56" s="1301"/>
      <c r="AI56" s="1301"/>
      <c r="AJ56" s="1301"/>
      <c r="AK56" s="1301"/>
      <c r="AL56" s="1301"/>
      <c r="AM56" s="1301"/>
      <c r="AN56" s="1301"/>
      <c r="AO56" s="1301"/>
      <c r="AP56" s="1301"/>
      <c r="AQ56" s="1301"/>
    </row>
    <row r="57" spans="1:90" s="305" customFormat="1" ht="16.5" customHeight="1" thickBot="1">
      <c r="G57" s="305">
        <v>2009</v>
      </c>
      <c r="K57" s="305">
        <v>2010</v>
      </c>
      <c r="O57" s="305">
        <v>2011</v>
      </c>
      <c r="S57" s="305">
        <v>2012</v>
      </c>
      <c r="W57" s="305">
        <v>2013</v>
      </c>
      <c r="AA57" s="305">
        <v>2014</v>
      </c>
      <c r="AE57" s="305">
        <v>2015</v>
      </c>
      <c r="AI57" s="305">
        <v>2016</v>
      </c>
      <c r="AM57" s="305">
        <v>2017</v>
      </c>
      <c r="AQ57" s="305">
        <v>2018</v>
      </c>
    </row>
    <row r="58" spans="1:90" s="1" customFormat="1" ht="15.95" customHeight="1">
      <c r="A58" s="337" t="s">
        <v>836</v>
      </c>
      <c r="B58" s="338"/>
      <c r="C58" s="338"/>
      <c r="D58" s="1208"/>
      <c r="E58" s="1208"/>
      <c r="F58" s="1208"/>
      <c r="G58" s="1217">
        <v>2432.1999999999998</v>
      </c>
      <c r="H58" s="1215"/>
      <c r="I58" s="1215"/>
      <c r="J58" s="1215"/>
      <c r="K58" s="1215">
        <v>3311.2</v>
      </c>
      <c r="L58" s="1215"/>
      <c r="M58" s="1215"/>
      <c r="N58" s="1215"/>
      <c r="O58" s="1217">
        <v>3953.6</v>
      </c>
      <c r="P58" s="1215"/>
      <c r="Q58" s="1215"/>
      <c r="R58" s="1215"/>
      <c r="S58" s="1217">
        <v>3681.2</v>
      </c>
      <c r="T58" s="1217"/>
      <c r="U58" s="1217"/>
      <c r="V58" s="1217"/>
      <c r="W58" s="1217">
        <v>2962.5</v>
      </c>
      <c r="X58" s="1217"/>
      <c r="Y58" s="1217"/>
      <c r="Z58" s="1217"/>
      <c r="AA58" s="1217"/>
      <c r="AB58" s="1217"/>
      <c r="AC58" s="1217"/>
      <c r="AD58" s="1217"/>
      <c r="AE58" s="1217"/>
      <c r="AF58" s="1217"/>
      <c r="AG58" s="1217"/>
      <c r="AH58" s="1217"/>
      <c r="AI58" s="1217"/>
      <c r="AJ58" s="1217"/>
      <c r="AK58" s="1217"/>
      <c r="AL58" s="1217"/>
      <c r="AM58" s="1217">
        <v>2774</v>
      </c>
      <c r="AN58" s="1217"/>
      <c r="AO58" s="1217"/>
      <c r="AP58" s="1217"/>
      <c r="AQ58" s="1217"/>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row>
    <row r="59" spans="1:90" s="1" customFormat="1" ht="15.95" customHeight="1">
      <c r="A59" s="337" t="s">
        <v>126</v>
      </c>
      <c r="B59" s="338" t="s">
        <v>829</v>
      </c>
      <c r="C59" s="338"/>
      <c r="D59" s="1208"/>
      <c r="E59" s="1208"/>
      <c r="F59" s="1208"/>
      <c r="G59" s="1217">
        <v>2375</v>
      </c>
      <c r="H59" s="1215"/>
      <c r="I59" s="1215"/>
      <c r="J59" s="1215"/>
      <c r="K59" s="1215">
        <v>2475</v>
      </c>
      <c r="L59" s="1215"/>
      <c r="M59" s="1215"/>
      <c r="N59" s="1215"/>
      <c r="O59" s="1217">
        <v>1587.5</v>
      </c>
      <c r="P59" s="1215"/>
      <c r="Q59" s="1215"/>
      <c r="R59" s="1215"/>
      <c r="S59" s="1217">
        <v>2250</v>
      </c>
      <c r="T59" s="1217"/>
      <c r="U59" s="1217"/>
      <c r="V59" s="1217"/>
      <c r="W59" s="1217">
        <v>937.5</v>
      </c>
      <c r="X59" s="1217"/>
      <c r="Y59" s="1217"/>
      <c r="Z59" s="1217"/>
      <c r="AA59" s="1217">
        <v>0</v>
      </c>
      <c r="AB59" s="1217"/>
      <c r="AC59" s="1217"/>
      <c r="AD59" s="1217"/>
      <c r="AE59" s="1217">
        <v>0</v>
      </c>
      <c r="AF59" s="1217"/>
      <c r="AG59" s="1217"/>
      <c r="AH59" s="1217"/>
      <c r="AI59" s="1217">
        <v>0</v>
      </c>
      <c r="AJ59" s="1217"/>
      <c r="AK59" s="1217"/>
      <c r="AL59" s="1217"/>
      <c r="AM59" s="1217">
        <v>687.5</v>
      </c>
      <c r="AN59" s="1217"/>
      <c r="AO59" s="1217"/>
      <c r="AP59" s="1217"/>
      <c r="AQ59" s="1217"/>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row>
    <row r="60" spans="1:90" s="1" customFormat="1" ht="15.95" customHeight="1">
      <c r="A60" s="337" t="s">
        <v>831</v>
      </c>
      <c r="B60" s="338" t="s">
        <v>830</v>
      </c>
      <c r="C60" s="338"/>
      <c r="D60" s="1206"/>
      <c r="E60" s="1206"/>
      <c r="F60" s="1206"/>
      <c r="G60" s="1222">
        <v>1.9</v>
      </c>
      <c r="H60" s="1206"/>
      <c r="I60" s="1206"/>
      <c r="J60" s="1206"/>
      <c r="K60" s="1206">
        <v>1.98</v>
      </c>
      <c r="L60" s="1206"/>
      <c r="M60" s="1206"/>
      <c r="N60" s="1206"/>
      <c r="O60" s="1222">
        <v>1.27</v>
      </c>
      <c r="P60" s="1206"/>
      <c r="Q60" s="1206"/>
      <c r="R60" s="1206"/>
      <c r="S60" s="1222">
        <v>1.8</v>
      </c>
      <c r="T60" s="1222"/>
      <c r="U60" s="1222"/>
      <c r="V60" s="1222"/>
      <c r="W60" s="1222">
        <v>0.75</v>
      </c>
      <c r="X60" s="1222"/>
      <c r="Y60" s="1222"/>
      <c r="Z60" s="1222"/>
      <c r="AA60" s="1222"/>
      <c r="AB60" s="1222"/>
      <c r="AC60" s="1222"/>
      <c r="AD60" s="1222"/>
      <c r="AE60" s="1222"/>
      <c r="AF60" s="1222"/>
      <c r="AG60" s="1222"/>
      <c r="AH60" s="1222"/>
      <c r="AI60" s="1222"/>
      <c r="AJ60" s="1222"/>
      <c r="AK60" s="1222"/>
      <c r="AL60" s="1222"/>
      <c r="AM60" s="1222">
        <v>0.55000000000000004</v>
      </c>
      <c r="AN60" s="1222"/>
      <c r="AO60" s="1222"/>
      <c r="AP60" s="1222"/>
      <c r="AQ60" s="1222"/>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row>
    <row r="61" spans="1:90" s="1" customFormat="1" ht="15.95" customHeight="1">
      <c r="A61" s="1213" t="s">
        <v>832</v>
      </c>
      <c r="B61" s="1201" t="s">
        <v>833</v>
      </c>
      <c r="C61" s="1201"/>
      <c r="D61" s="1210"/>
      <c r="E61" s="1210"/>
      <c r="F61" s="1210"/>
      <c r="G61" s="1219">
        <v>45.7</v>
      </c>
      <c r="H61" s="1210"/>
      <c r="I61" s="1210"/>
      <c r="J61" s="1210"/>
      <c r="K61" s="1210">
        <v>36.25</v>
      </c>
      <c r="L61" s="1210"/>
      <c r="M61" s="1210"/>
      <c r="N61" s="1210"/>
      <c r="O61" s="1219">
        <v>33.69</v>
      </c>
      <c r="P61" s="1210"/>
      <c r="Q61" s="1210"/>
      <c r="R61" s="1210"/>
      <c r="S61" s="1219">
        <v>37</v>
      </c>
      <c r="T61" s="1219"/>
      <c r="U61" s="1219"/>
      <c r="V61" s="1219"/>
      <c r="W61" s="1219">
        <v>39.200000000000003</v>
      </c>
      <c r="X61" s="1219"/>
      <c r="Y61" s="1219"/>
      <c r="Z61" s="1219"/>
      <c r="AA61" s="1219"/>
      <c r="AB61" s="1219"/>
      <c r="AC61" s="1219"/>
      <c r="AD61" s="1219"/>
      <c r="AE61" s="1219"/>
      <c r="AF61" s="1219"/>
      <c r="AG61" s="1219"/>
      <c r="AH61" s="1219"/>
      <c r="AI61" s="1219"/>
      <c r="AJ61" s="1219"/>
      <c r="AK61" s="1219"/>
      <c r="AL61" s="1219"/>
      <c r="AM61" s="1219">
        <v>40.18</v>
      </c>
      <c r="AN61" s="1219"/>
      <c r="AO61" s="1219"/>
      <c r="AP61" s="1219"/>
      <c r="AQ61" s="1219"/>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row>
    <row r="62" spans="1:90" s="1211" customFormat="1" ht="15.95" customHeight="1">
      <c r="A62" s="321" t="s">
        <v>834</v>
      </c>
      <c r="B62" s="322" t="s">
        <v>835</v>
      </c>
      <c r="C62" s="322"/>
      <c r="D62" s="1209"/>
      <c r="E62" s="1214"/>
      <c r="F62" s="1214"/>
      <c r="G62" s="1220">
        <v>4.1575492341356671E-2</v>
      </c>
      <c r="H62" s="1214"/>
      <c r="I62" s="1214"/>
      <c r="J62" s="1214"/>
      <c r="K62" s="1214">
        <v>5.4620689655172416E-2</v>
      </c>
      <c r="L62" s="1214"/>
      <c r="M62" s="1214"/>
      <c r="N62" s="1214"/>
      <c r="O62" s="1220">
        <v>3.7696645888987836E-2</v>
      </c>
      <c r="P62" s="1214"/>
      <c r="Q62" s="1214"/>
      <c r="R62" s="1214"/>
      <c r="S62" s="1220">
        <v>4.8648648648648651E-2</v>
      </c>
      <c r="T62" s="1220"/>
      <c r="U62" s="1220"/>
      <c r="V62" s="1220"/>
      <c r="W62" s="1220">
        <v>1.9132653061224487E-2</v>
      </c>
      <c r="X62" s="1220"/>
      <c r="Y62" s="1220"/>
      <c r="Z62" s="1220"/>
      <c r="AA62" s="1220"/>
      <c r="AB62" s="1220"/>
      <c r="AC62" s="1220"/>
      <c r="AD62" s="1220"/>
      <c r="AE62" s="1220"/>
      <c r="AF62" s="1220"/>
      <c r="AG62" s="1220"/>
      <c r="AH62" s="1220"/>
      <c r="AI62" s="1220"/>
      <c r="AJ62" s="1220"/>
      <c r="AK62" s="1220"/>
      <c r="AL62" s="1220"/>
      <c r="AM62" s="1220">
        <v>1.3688402190144352E-2</v>
      </c>
      <c r="AN62" s="1220"/>
      <c r="AO62" s="1220"/>
      <c r="AP62" s="1220"/>
      <c r="AQ62" s="1220"/>
      <c r="AR62" s="1212"/>
      <c r="AS62" s="1212"/>
      <c r="AT62" s="1212"/>
      <c r="AU62" s="1212"/>
      <c r="AV62" s="1212"/>
      <c r="AW62" s="1212"/>
      <c r="AX62" s="1212"/>
      <c r="AY62" s="1212"/>
      <c r="AZ62" s="1212"/>
      <c r="BA62" s="1212"/>
      <c r="BB62" s="1212"/>
      <c r="BC62" s="1212"/>
      <c r="BD62" s="1212"/>
      <c r="BE62" s="1212"/>
      <c r="BF62" s="1212"/>
      <c r="BG62" s="1212"/>
      <c r="BH62" s="1212"/>
      <c r="BI62" s="1212"/>
      <c r="BJ62" s="1212"/>
      <c r="BK62" s="1212"/>
      <c r="BL62" s="1212"/>
      <c r="BM62" s="1212"/>
      <c r="BN62" s="1212"/>
      <c r="BO62" s="1212"/>
      <c r="BP62" s="1212"/>
      <c r="BQ62" s="1212"/>
      <c r="BR62" s="1212"/>
      <c r="BS62" s="1212"/>
      <c r="BT62" s="1212"/>
      <c r="BU62" s="1212"/>
      <c r="BV62" s="1212"/>
      <c r="BW62" s="1212"/>
      <c r="BX62" s="1212"/>
      <c r="BY62" s="1212"/>
      <c r="BZ62" s="1212"/>
      <c r="CA62" s="1212"/>
      <c r="CB62" s="1212"/>
      <c r="CC62" s="1212"/>
      <c r="CD62" s="1212"/>
      <c r="CE62" s="1212"/>
      <c r="CF62" s="1212"/>
      <c r="CG62" s="1212"/>
      <c r="CH62" s="1212"/>
      <c r="CI62" s="1212"/>
      <c r="CJ62" s="1212"/>
      <c r="CK62" s="1212"/>
      <c r="CL62" s="1212"/>
    </row>
    <row r="63" spans="1:90" s="1211" customFormat="1" ht="15.95" customHeight="1">
      <c r="A63" s="321" t="s">
        <v>837</v>
      </c>
      <c r="B63" s="322" t="s">
        <v>838</v>
      </c>
      <c r="C63" s="322"/>
      <c r="D63" s="1209"/>
      <c r="E63" s="1214"/>
      <c r="F63" s="1214"/>
      <c r="G63" s="1220">
        <f t="shared" ref="G63" si="2">G59/G58</f>
        <v>0.97648219718773133</v>
      </c>
      <c r="H63" s="1214"/>
      <c r="I63" s="1214"/>
      <c r="J63" s="1214"/>
      <c r="K63" s="1214">
        <f t="shared" ref="K63" si="3">K59/K58</f>
        <v>0.74746315535153418</v>
      </c>
      <c r="L63" s="1214"/>
      <c r="M63" s="1214"/>
      <c r="N63" s="1214"/>
      <c r="O63" s="1220">
        <f t="shared" ref="O63" si="4">O59/O58</f>
        <v>0.40153278025091055</v>
      </c>
      <c r="P63" s="1214"/>
      <c r="Q63" s="1214"/>
      <c r="R63" s="1214"/>
      <c r="S63" s="1220">
        <f t="shared" ref="S63" si="5">S59/S58</f>
        <v>0.611213734651744</v>
      </c>
      <c r="T63" s="1220"/>
      <c r="U63" s="1220"/>
      <c r="V63" s="1220"/>
      <c r="W63" s="1220">
        <f t="shared" ref="W63" si="6">W59/W58</f>
        <v>0.31645569620253167</v>
      </c>
      <c r="X63" s="1220"/>
      <c r="Y63" s="1220"/>
      <c r="Z63" s="1220"/>
      <c r="AA63" s="1220"/>
      <c r="AB63" s="1220"/>
      <c r="AC63" s="1220"/>
      <c r="AD63" s="1220"/>
      <c r="AE63" s="1220"/>
      <c r="AF63" s="1220"/>
      <c r="AG63" s="1220"/>
      <c r="AH63" s="1220"/>
      <c r="AI63" s="1220"/>
      <c r="AJ63" s="1220"/>
      <c r="AK63" s="1220"/>
      <c r="AL63" s="1220"/>
      <c r="AM63" s="1220">
        <f>AM59/AM58</f>
        <v>0.24783705839942322</v>
      </c>
      <c r="AN63" s="1220"/>
      <c r="AO63" s="1220"/>
      <c r="AP63" s="1220"/>
      <c r="AQ63" s="1220"/>
      <c r="AR63" s="1212"/>
      <c r="AS63" s="1212"/>
      <c r="AT63" s="1212"/>
      <c r="AU63" s="1212"/>
      <c r="AV63" s="1212"/>
      <c r="AW63" s="1212"/>
      <c r="AX63" s="1212"/>
      <c r="AY63" s="1212"/>
      <c r="AZ63" s="1212"/>
      <c r="BA63" s="1212"/>
      <c r="BB63" s="1212"/>
      <c r="BC63" s="1212"/>
      <c r="BD63" s="1212"/>
      <c r="BE63" s="1212"/>
      <c r="BF63" s="1212"/>
      <c r="BG63" s="1212"/>
      <c r="BH63" s="1212"/>
      <c r="BI63" s="1212"/>
      <c r="BJ63" s="1212"/>
      <c r="BK63" s="1212"/>
      <c r="BL63" s="1212"/>
      <c r="BM63" s="1212"/>
      <c r="BN63" s="1212"/>
      <c r="BO63" s="1212"/>
      <c r="BP63" s="1212"/>
      <c r="BQ63" s="1212"/>
      <c r="BR63" s="1212"/>
      <c r="BS63" s="1212"/>
      <c r="BT63" s="1212"/>
      <c r="BU63" s="1212"/>
      <c r="BV63" s="1212"/>
      <c r="BW63" s="1212"/>
      <c r="BX63" s="1212"/>
      <c r="BY63" s="1212"/>
      <c r="BZ63" s="1212"/>
      <c r="CA63" s="1212"/>
      <c r="CB63" s="1212"/>
      <c r="CC63" s="1212"/>
      <c r="CD63" s="1212"/>
      <c r="CE63" s="1212"/>
      <c r="CF63" s="1212"/>
      <c r="CG63" s="1212"/>
      <c r="CH63" s="1212"/>
      <c r="CI63" s="1212"/>
      <c r="CJ63" s="1212"/>
      <c r="CK63" s="1212"/>
      <c r="CL63" s="1212"/>
    </row>
    <row r="64" spans="1:90" s="1302" customFormat="1" ht="15" customHeight="1">
      <c r="A64" s="1300"/>
      <c r="B64" s="1300"/>
      <c r="C64" s="1300"/>
      <c r="D64" s="1301"/>
      <c r="E64" s="1301"/>
      <c r="F64" s="1301"/>
      <c r="G64" s="1301"/>
      <c r="H64" s="1301"/>
      <c r="I64" s="1301"/>
      <c r="J64" s="1301"/>
      <c r="K64" s="1301"/>
      <c r="L64" s="1301"/>
      <c r="M64" s="1301"/>
      <c r="N64" s="1301"/>
      <c r="O64" s="1301"/>
      <c r="P64" s="1301"/>
      <c r="Q64" s="1301"/>
      <c r="R64" s="1301"/>
      <c r="S64" s="1301"/>
      <c r="T64" s="1301"/>
      <c r="U64" s="1301"/>
      <c r="V64" s="1301"/>
      <c r="W64" s="1301"/>
      <c r="X64" s="1301"/>
      <c r="Y64" s="1301"/>
      <c r="Z64" s="1301"/>
      <c r="AA64" s="1301"/>
      <c r="AB64" s="1301"/>
      <c r="AC64" s="1301"/>
      <c r="AD64" s="1301"/>
      <c r="AE64" s="1301"/>
      <c r="AF64" s="1301"/>
      <c r="AG64" s="1301"/>
      <c r="AH64" s="1301"/>
      <c r="AI64" s="1301"/>
      <c r="AJ64" s="1301"/>
      <c r="AK64" s="1301"/>
      <c r="AL64" s="1301"/>
      <c r="AM64" s="1301"/>
      <c r="AN64" s="1301"/>
      <c r="AO64" s="1301"/>
      <c r="AP64" s="1301"/>
      <c r="AQ64" s="1301"/>
    </row>
    <row r="65" spans="1:90" s="137" customFormat="1" ht="19.5" customHeight="1">
      <c r="A65" s="35" t="s">
        <v>442</v>
      </c>
      <c r="B65" s="16" t="s">
        <v>443</v>
      </c>
      <c r="C65" s="16"/>
      <c r="D65" s="16"/>
      <c r="E65" s="16"/>
      <c r="F65" s="16"/>
      <c r="G65" s="4"/>
      <c r="H65" s="4"/>
      <c r="I65" s="4"/>
      <c r="J65" s="4"/>
      <c r="K65" s="4"/>
      <c r="L65" s="4"/>
      <c r="M65" s="4"/>
      <c r="N65" s="4"/>
      <c r="O65" s="4"/>
      <c r="P65" s="4"/>
      <c r="Q65" s="4"/>
      <c r="R65" s="4"/>
      <c r="S65" s="4"/>
      <c r="T65" s="4"/>
      <c r="U65" s="4"/>
      <c r="V65" s="4"/>
      <c r="W65" s="4"/>
      <c r="X65" s="4"/>
      <c r="Y65" s="5"/>
      <c r="Z65" s="5"/>
      <c r="AA65" s="5"/>
      <c r="AB65" s="5"/>
      <c r="AC65" s="5"/>
      <c r="AD65" s="5"/>
      <c r="AE65" s="5"/>
      <c r="AF65" s="5"/>
      <c r="AG65" s="5"/>
      <c r="AH65" s="5"/>
      <c r="AI65" s="5"/>
      <c r="AJ65" s="5"/>
      <c r="AK65" s="5"/>
      <c r="AL65" s="5"/>
      <c r="AM65" s="5"/>
      <c r="AN65" s="5"/>
      <c r="AO65" s="5"/>
      <c r="AP65" s="5"/>
      <c r="AQ65" s="39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row>
    <row r="66" spans="1:90" ht="15" customHeight="1" thickBot="1">
      <c r="A66" s="402"/>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3"/>
      <c r="Z66" s="403"/>
      <c r="AA66" s="403"/>
      <c r="AB66" s="403"/>
      <c r="AC66" s="403"/>
      <c r="AD66" s="403"/>
      <c r="AE66" s="403"/>
      <c r="AF66" s="403"/>
      <c r="AG66" s="403"/>
      <c r="AH66" s="403"/>
      <c r="AI66" s="403"/>
      <c r="AJ66" s="403"/>
      <c r="AK66" s="403"/>
      <c r="AL66" s="403"/>
      <c r="AM66" s="403"/>
      <c r="AN66" s="403"/>
      <c r="AO66" s="403"/>
      <c r="AP66" s="403"/>
      <c r="AQ66" s="392"/>
    </row>
    <row r="67" spans="1:90" s="1" customFormat="1" ht="16.5" thickBot="1">
      <c r="A67" s="343" t="s">
        <v>365</v>
      </c>
      <c r="B67" s="305" t="s">
        <v>182</v>
      </c>
      <c r="C67" s="305"/>
      <c r="D67" s="305" t="s">
        <v>24</v>
      </c>
      <c r="E67" s="305" t="s">
        <v>25</v>
      </c>
      <c r="F67" s="305" t="s">
        <v>26</v>
      </c>
      <c r="G67" s="305" t="s">
        <v>27</v>
      </c>
      <c r="H67" s="305" t="s">
        <v>28</v>
      </c>
      <c r="I67" s="305" t="s">
        <v>29</v>
      </c>
      <c r="J67" s="305" t="s">
        <v>30</v>
      </c>
      <c r="K67" s="305" t="s">
        <v>31</v>
      </c>
      <c r="L67" s="305" t="s">
        <v>32</v>
      </c>
      <c r="M67" s="305" t="s">
        <v>33</v>
      </c>
      <c r="N67" s="305" t="s">
        <v>34</v>
      </c>
      <c r="O67" s="305" t="s">
        <v>35</v>
      </c>
      <c r="P67" s="305" t="s">
        <v>36</v>
      </c>
      <c r="Q67" s="305" t="s">
        <v>37</v>
      </c>
      <c r="R67" s="305" t="s">
        <v>38</v>
      </c>
      <c r="S67" s="305" t="s">
        <v>39</v>
      </c>
      <c r="T67" s="305" t="s">
        <v>40</v>
      </c>
      <c r="U67" s="305" t="s">
        <v>41</v>
      </c>
      <c r="V67" s="305" t="s">
        <v>42</v>
      </c>
      <c r="W67" s="305" t="s">
        <v>43</v>
      </c>
      <c r="X67" s="305" t="s">
        <v>110</v>
      </c>
      <c r="Y67" s="305" t="s">
        <v>111</v>
      </c>
      <c r="Z67" s="305" t="s">
        <v>113</v>
      </c>
      <c r="AA67" s="305" t="s">
        <v>120</v>
      </c>
      <c r="AB67" s="305" t="s">
        <v>114</v>
      </c>
      <c r="AC67" s="305" t="s">
        <v>116</v>
      </c>
      <c r="AD67" s="305" t="s">
        <v>117</v>
      </c>
      <c r="AE67" s="305" t="s">
        <v>119</v>
      </c>
      <c r="AF67" s="306" t="s">
        <v>121</v>
      </c>
      <c r="AG67" s="306" t="s">
        <v>123</v>
      </c>
      <c r="AH67" s="306" t="s">
        <v>124</v>
      </c>
      <c r="AI67" s="306" t="s">
        <v>125</v>
      </c>
      <c r="AJ67" s="306" t="s">
        <v>127</v>
      </c>
      <c r="AK67" s="306" t="s">
        <v>128</v>
      </c>
      <c r="AL67" s="306" t="s">
        <v>129</v>
      </c>
      <c r="AM67" s="306" t="s">
        <v>130</v>
      </c>
      <c r="AN67" s="306" t="s">
        <v>131</v>
      </c>
      <c r="AO67" s="306" t="s">
        <v>223</v>
      </c>
      <c r="AP67" s="306" t="s">
        <v>224</v>
      </c>
      <c r="AQ67" s="344" t="s">
        <v>511</v>
      </c>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row>
    <row r="68" spans="1:90" s="1" customFormat="1" ht="15.95" customHeight="1">
      <c r="A68" s="337" t="s">
        <v>89</v>
      </c>
      <c r="B68" s="338" t="s">
        <v>90</v>
      </c>
      <c r="C68" s="338"/>
      <c r="D68" s="338">
        <v>6341</v>
      </c>
      <c r="E68" s="338">
        <v>6311</v>
      </c>
      <c r="F68" s="338">
        <v>6296</v>
      </c>
      <c r="G68" s="339">
        <v>6212.4080000000004</v>
      </c>
      <c r="H68" s="339">
        <v>6184</v>
      </c>
      <c r="I68" s="339">
        <v>6173</v>
      </c>
      <c r="J68" s="339">
        <v>6155</v>
      </c>
      <c r="K68" s="339">
        <v>6149.5240000000003</v>
      </c>
      <c r="L68" s="339">
        <v>6257</v>
      </c>
      <c r="M68" s="339">
        <v>6281.683</v>
      </c>
      <c r="N68" s="339">
        <v>6130.402</v>
      </c>
      <c r="O68" s="339">
        <v>6145.6729999999998</v>
      </c>
      <c r="P68" s="339">
        <v>6123.0870000000004</v>
      </c>
      <c r="Q68" s="339">
        <v>6125.7049999999999</v>
      </c>
      <c r="R68" s="339">
        <v>6135</v>
      </c>
      <c r="S68" s="339">
        <v>6220</v>
      </c>
      <c r="T68" s="339">
        <v>6245</v>
      </c>
      <c r="U68" s="339">
        <v>6254</v>
      </c>
      <c r="V68" s="339">
        <v>6283</v>
      </c>
      <c r="W68" s="340">
        <v>6318</v>
      </c>
      <c r="X68" s="340">
        <v>6333</v>
      </c>
      <c r="Y68" s="340">
        <v>6357</v>
      </c>
      <c r="Z68" s="341">
        <v>6358</v>
      </c>
      <c r="AA68" s="341">
        <v>6660</v>
      </c>
      <c r="AB68" s="341">
        <v>6661</v>
      </c>
      <c r="AC68" s="340">
        <v>6583</v>
      </c>
      <c r="AD68" s="341">
        <v>6600</v>
      </c>
      <c r="AE68" s="341">
        <v>6621</v>
      </c>
      <c r="AF68" s="341">
        <v>6643</v>
      </c>
      <c r="AG68" s="341">
        <v>6703</v>
      </c>
      <c r="AH68" s="341">
        <v>6780</v>
      </c>
      <c r="AI68" s="341">
        <v>6850</v>
      </c>
      <c r="AJ68" s="341">
        <v>6910</v>
      </c>
      <c r="AK68" s="341">
        <v>6978</v>
      </c>
      <c r="AL68" s="341">
        <v>7063</v>
      </c>
      <c r="AM68" s="341">
        <v>7134</v>
      </c>
      <c r="AN68" s="341">
        <v>7189</v>
      </c>
      <c r="AO68" s="341">
        <f>'[2]Dane dodatkowe Bank'!$AV$71</f>
        <v>7267.0460000000003</v>
      </c>
      <c r="AP68" s="341">
        <f>'[2]Dane dodatkowe Bank'!$AW$71</f>
        <v>7362.2550000000001</v>
      </c>
      <c r="AQ68" s="342">
        <v>7448</v>
      </c>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row>
    <row r="69" spans="1:90" ht="15.95" customHeight="1">
      <c r="A69" s="321" t="s">
        <v>91</v>
      </c>
      <c r="B69" s="322" t="s">
        <v>92</v>
      </c>
      <c r="C69" s="322"/>
      <c r="D69" s="322">
        <v>7453</v>
      </c>
      <c r="E69" s="322">
        <v>7462</v>
      </c>
      <c r="F69" s="322">
        <v>7462</v>
      </c>
      <c r="G69" s="319">
        <v>7456.48</v>
      </c>
      <c r="H69" s="319">
        <v>7260</v>
      </c>
      <c r="I69" s="319">
        <v>7252.9970000000003</v>
      </c>
      <c r="J69" s="319">
        <v>7192</v>
      </c>
      <c r="K69" s="319">
        <v>7170.5079999999998</v>
      </c>
      <c r="L69" s="319">
        <v>7094</v>
      </c>
      <c r="M69" s="319">
        <v>7086.4859999999999</v>
      </c>
      <c r="N69" s="319">
        <v>7097.3010000000004</v>
      </c>
      <c r="O69" s="319">
        <v>7166.18</v>
      </c>
      <c r="P69" s="319">
        <v>7125</v>
      </c>
      <c r="Q69" s="319">
        <v>7121.5110000000004</v>
      </c>
      <c r="R69" s="319">
        <v>7158</v>
      </c>
      <c r="S69" s="319">
        <v>7164</v>
      </c>
      <c r="T69" s="319">
        <v>7120</v>
      </c>
      <c r="U69" s="319">
        <v>7225</v>
      </c>
      <c r="V69" s="319">
        <v>7090</v>
      </c>
      <c r="W69" s="323">
        <v>7080</v>
      </c>
      <c r="X69" s="323">
        <v>7430</v>
      </c>
      <c r="Y69" s="323">
        <v>7451</v>
      </c>
      <c r="Z69" s="313">
        <v>7441</v>
      </c>
      <c r="AA69" s="313">
        <v>7468</v>
      </c>
      <c r="AB69" s="313">
        <v>7452</v>
      </c>
      <c r="AC69" s="323">
        <v>7450</v>
      </c>
      <c r="AD69" s="313">
        <v>7489</v>
      </c>
      <c r="AE69" s="313">
        <v>7523</v>
      </c>
      <c r="AF69" s="313">
        <v>7558</v>
      </c>
      <c r="AG69" s="313">
        <v>7642</v>
      </c>
      <c r="AH69" s="313">
        <v>7763</v>
      </c>
      <c r="AI69" s="313">
        <v>7864</v>
      </c>
      <c r="AJ69" s="313">
        <v>7985</v>
      </c>
      <c r="AK69" s="313">
        <v>8089</v>
      </c>
      <c r="AL69" s="313">
        <v>8233</v>
      </c>
      <c r="AM69" s="313">
        <v>8340</v>
      </c>
      <c r="AN69" s="313">
        <v>8462</v>
      </c>
      <c r="AO69" s="313">
        <f>'[2]Dane dodatkowe Bank'!$AV$74</f>
        <v>8651.16</v>
      </c>
      <c r="AP69" s="313">
        <f>'[2]Dane dodatkowe Bank'!$AW$74</f>
        <v>8771.1080000000002</v>
      </c>
      <c r="AQ69" s="314">
        <v>8893</v>
      </c>
    </row>
    <row r="70" spans="1:90" ht="15.95" customHeight="1">
      <c r="A70" s="324" t="s">
        <v>586</v>
      </c>
      <c r="B70" s="325" t="s">
        <v>587</v>
      </c>
      <c r="C70" s="325"/>
      <c r="D70" s="325">
        <v>1035</v>
      </c>
      <c r="E70" s="325">
        <v>1050</v>
      </c>
      <c r="F70" s="325">
        <v>1064</v>
      </c>
      <c r="G70" s="326">
        <v>1106.0650000000001</v>
      </c>
      <c r="H70" s="326">
        <v>1068</v>
      </c>
      <c r="I70" s="326">
        <v>1081</v>
      </c>
      <c r="J70" s="326">
        <v>1050</v>
      </c>
      <c r="K70" s="326">
        <v>1031</v>
      </c>
      <c r="L70" s="326">
        <v>958</v>
      </c>
      <c r="M70" s="326">
        <v>943</v>
      </c>
      <c r="N70" s="326">
        <v>942</v>
      </c>
      <c r="O70" s="326">
        <v>937</v>
      </c>
      <c r="P70" s="326">
        <v>928</v>
      </c>
      <c r="Q70" s="326">
        <v>910</v>
      </c>
      <c r="R70" s="326">
        <v>896</v>
      </c>
      <c r="S70" s="326">
        <v>891</v>
      </c>
      <c r="T70" s="326">
        <v>872</v>
      </c>
      <c r="U70" s="326">
        <v>856</v>
      </c>
      <c r="V70" s="326">
        <v>839</v>
      </c>
      <c r="W70" s="327">
        <v>825</v>
      </c>
      <c r="X70" s="327">
        <v>813</v>
      </c>
      <c r="Y70" s="327">
        <v>812</v>
      </c>
      <c r="Z70" s="328">
        <v>813</v>
      </c>
      <c r="AA70" s="328">
        <v>843</v>
      </c>
      <c r="AB70" s="328">
        <v>821</v>
      </c>
      <c r="AC70" s="327">
        <v>838</v>
      </c>
      <c r="AD70" s="328">
        <v>845</v>
      </c>
      <c r="AE70" s="328">
        <v>838</v>
      </c>
      <c r="AF70" s="328">
        <v>835</v>
      </c>
      <c r="AG70" s="328">
        <v>840</v>
      </c>
      <c r="AH70" s="328">
        <v>842</v>
      </c>
      <c r="AI70" s="328">
        <v>852</v>
      </c>
      <c r="AJ70" s="328">
        <v>859</v>
      </c>
      <c r="AK70" s="328">
        <v>859</v>
      </c>
      <c r="AL70" s="328">
        <v>866</v>
      </c>
      <c r="AM70" s="328">
        <v>875</v>
      </c>
      <c r="AN70" s="328">
        <v>885</v>
      </c>
      <c r="AO70" s="328">
        <f>'[2]Dane dodatkowe Bank'!$AV$75</f>
        <v>902.48900000000003</v>
      </c>
      <c r="AP70" s="328">
        <f>'[2]Dane dodatkowe Bank'!$AW$75</f>
        <v>919.32399999999996</v>
      </c>
      <c r="AQ70" s="329">
        <v>932</v>
      </c>
    </row>
    <row r="71" spans="1:90" ht="15.95" customHeight="1">
      <c r="A71" s="321" t="s">
        <v>93</v>
      </c>
      <c r="B71" s="322" t="s">
        <v>94</v>
      </c>
      <c r="C71" s="322"/>
      <c r="D71" s="322">
        <v>1237</v>
      </c>
      <c r="E71" s="322">
        <v>1237</v>
      </c>
      <c r="F71" s="322">
        <v>1233</v>
      </c>
      <c r="G71" s="319">
        <v>1228</v>
      </c>
      <c r="H71" s="319">
        <v>1224</v>
      </c>
      <c r="I71" s="319">
        <v>1222</v>
      </c>
      <c r="J71" s="319">
        <v>1211</v>
      </c>
      <c r="K71" s="319">
        <v>1208</v>
      </c>
      <c r="L71" s="319">
        <v>1205</v>
      </c>
      <c r="M71" s="319">
        <v>1201</v>
      </c>
      <c r="N71" s="319">
        <v>1201</v>
      </c>
      <c r="O71" s="319">
        <v>1199</v>
      </c>
      <c r="P71" s="319">
        <v>1196</v>
      </c>
      <c r="Q71" s="319">
        <v>1197</v>
      </c>
      <c r="R71" s="319">
        <v>1196</v>
      </c>
      <c r="S71" s="319">
        <v>1198</v>
      </c>
      <c r="T71" s="319">
        <v>1199</v>
      </c>
      <c r="U71" s="319">
        <v>1177</v>
      </c>
      <c r="V71" s="319">
        <v>1181</v>
      </c>
      <c r="W71" s="323">
        <v>1186</v>
      </c>
      <c r="X71" s="323">
        <v>1186</v>
      </c>
      <c r="Y71" s="323">
        <v>1186</v>
      </c>
      <c r="Z71" s="313">
        <v>1189</v>
      </c>
      <c r="AA71" s="313">
        <v>1319</v>
      </c>
      <c r="AB71" s="313">
        <v>1323</v>
      </c>
      <c r="AC71" s="323">
        <f>AC72+AC73</f>
        <v>1311</v>
      </c>
      <c r="AD71" s="323">
        <f>AD72+AD73</f>
        <v>1290</v>
      </c>
      <c r="AE71" s="313">
        <v>1278</v>
      </c>
      <c r="AF71" s="313">
        <v>1275</v>
      </c>
      <c r="AG71" s="313">
        <v>1267</v>
      </c>
      <c r="AH71" s="313">
        <v>1256</v>
      </c>
      <c r="AI71" s="313">
        <v>1238</v>
      </c>
      <c r="AJ71" s="313">
        <v>1213</v>
      </c>
      <c r="AK71" s="313">
        <v>1221</v>
      </c>
      <c r="AL71" s="313">
        <v>1208</v>
      </c>
      <c r="AM71" s="313">
        <v>1194</v>
      </c>
      <c r="AN71" s="313">
        <v>1186</v>
      </c>
      <c r="AO71" s="313">
        <v>1187</v>
      </c>
      <c r="AP71" s="313">
        <v>1174</v>
      </c>
      <c r="AQ71" s="314">
        <v>1155</v>
      </c>
    </row>
    <row r="72" spans="1:90" s="1293" customFormat="1" ht="15.95" customHeight="1">
      <c r="A72" s="1290" t="s">
        <v>862</v>
      </c>
      <c r="B72" s="656" t="s">
        <v>864</v>
      </c>
      <c r="C72" s="656"/>
      <c r="D72" s="1291">
        <v>1169</v>
      </c>
      <c r="E72" s="1291">
        <v>1169</v>
      </c>
      <c r="F72" s="1291">
        <v>1165</v>
      </c>
      <c r="G72" s="1291">
        <v>1160</v>
      </c>
      <c r="H72" s="1291">
        <v>1156</v>
      </c>
      <c r="I72" s="1291">
        <v>1154</v>
      </c>
      <c r="J72" s="1291">
        <v>1143</v>
      </c>
      <c r="K72" s="1291">
        <v>1140</v>
      </c>
      <c r="L72" s="1291">
        <v>1138</v>
      </c>
      <c r="M72" s="1291">
        <v>1134</v>
      </c>
      <c r="N72" s="1291">
        <v>1134</v>
      </c>
      <c r="O72" s="1291">
        <v>1131</v>
      </c>
      <c r="P72" s="1291">
        <v>1132</v>
      </c>
      <c r="Q72" s="1291">
        <v>1133</v>
      </c>
      <c r="R72" s="1291">
        <v>1132</v>
      </c>
      <c r="S72" s="1291">
        <v>1134</v>
      </c>
      <c r="T72" s="1291">
        <v>1135</v>
      </c>
      <c r="U72" s="1291">
        <v>1138</v>
      </c>
      <c r="V72" s="1291">
        <v>1142</v>
      </c>
      <c r="W72" s="1265">
        <v>1147</v>
      </c>
      <c r="X72" s="1265">
        <v>1147</v>
      </c>
      <c r="Y72" s="1265">
        <v>1147</v>
      </c>
      <c r="Z72" s="1270">
        <v>1150</v>
      </c>
      <c r="AA72" s="1270">
        <v>1280</v>
      </c>
      <c r="AB72" s="1270">
        <v>1284</v>
      </c>
      <c r="AC72" s="1265">
        <v>1272</v>
      </c>
      <c r="AD72" s="1270">
        <v>1251</v>
      </c>
      <c r="AE72" s="1270">
        <v>1238</v>
      </c>
      <c r="AF72" s="1270">
        <v>1235</v>
      </c>
      <c r="AG72" s="1270">
        <v>1227</v>
      </c>
      <c r="AH72" s="1270">
        <v>1216</v>
      </c>
      <c r="AI72" s="1270">
        <v>1198</v>
      </c>
      <c r="AJ72" s="1270">
        <v>1190</v>
      </c>
      <c r="AK72" s="1270">
        <v>1180</v>
      </c>
      <c r="AL72" s="1270">
        <v>1167</v>
      </c>
      <c r="AM72" s="1270">
        <v>1153</v>
      </c>
      <c r="AN72" s="1270">
        <v>1145</v>
      </c>
      <c r="AO72" s="1270">
        <v>1146</v>
      </c>
      <c r="AP72" s="1270">
        <v>1132</v>
      </c>
      <c r="AQ72" s="1292">
        <v>1113</v>
      </c>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7"/>
      <c r="CC72" s="217"/>
      <c r="CD72" s="217"/>
      <c r="CE72" s="217"/>
      <c r="CF72" s="217"/>
      <c r="CG72" s="217"/>
      <c r="CH72" s="217"/>
      <c r="CI72" s="217"/>
      <c r="CJ72" s="217"/>
      <c r="CK72" s="217"/>
      <c r="CL72" s="217"/>
    </row>
    <row r="73" spans="1:90" s="1293" customFormat="1" ht="15.95" customHeight="1">
      <c r="A73" s="1290" t="s">
        <v>863</v>
      </c>
      <c r="B73" s="656" t="s">
        <v>865</v>
      </c>
      <c r="C73" s="656"/>
      <c r="D73" s="1291">
        <v>68</v>
      </c>
      <c r="E73" s="1291">
        <v>68</v>
      </c>
      <c r="F73" s="1291">
        <v>68</v>
      </c>
      <c r="G73" s="1291">
        <v>68</v>
      </c>
      <c r="H73" s="1291">
        <v>68</v>
      </c>
      <c r="I73" s="1291">
        <v>68</v>
      </c>
      <c r="J73" s="1291">
        <v>68</v>
      </c>
      <c r="K73" s="1291">
        <v>68</v>
      </c>
      <c r="L73" s="1291">
        <v>67</v>
      </c>
      <c r="M73" s="1291">
        <v>67</v>
      </c>
      <c r="N73" s="1291">
        <v>67</v>
      </c>
      <c r="O73" s="1291">
        <v>67</v>
      </c>
      <c r="P73" s="1291">
        <v>64</v>
      </c>
      <c r="Q73" s="1291">
        <v>64</v>
      </c>
      <c r="R73" s="1291">
        <v>64</v>
      </c>
      <c r="S73" s="1291">
        <v>64</v>
      </c>
      <c r="T73" s="1291">
        <v>64</v>
      </c>
      <c r="U73" s="1291">
        <v>39</v>
      </c>
      <c r="V73" s="1291">
        <v>39</v>
      </c>
      <c r="W73" s="1265">
        <v>39</v>
      </c>
      <c r="X73" s="1265">
        <v>39</v>
      </c>
      <c r="Y73" s="1265">
        <v>39</v>
      </c>
      <c r="Z73" s="1270">
        <v>39</v>
      </c>
      <c r="AA73" s="1270">
        <v>39</v>
      </c>
      <c r="AB73" s="1270">
        <v>39</v>
      </c>
      <c r="AC73" s="1265">
        <v>39</v>
      </c>
      <c r="AD73" s="1270">
        <v>39</v>
      </c>
      <c r="AE73" s="1270">
        <v>40</v>
      </c>
      <c r="AF73" s="1270">
        <v>40</v>
      </c>
      <c r="AG73" s="1270">
        <v>40</v>
      </c>
      <c r="AH73" s="1270">
        <v>40</v>
      </c>
      <c r="AI73" s="1270">
        <v>40</v>
      </c>
      <c r="AJ73" s="1270">
        <v>40</v>
      </c>
      <c r="AK73" s="1270">
        <v>41</v>
      </c>
      <c r="AL73" s="1270">
        <v>41</v>
      </c>
      <c r="AM73" s="1270">
        <v>41</v>
      </c>
      <c r="AN73" s="1270">
        <v>41</v>
      </c>
      <c r="AO73" s="1270">
        <f>'[2]Dane dodatkowe Bank'!$AV$88</f>
        <v>41</v>
      </c>
      <c r="AP73" s="1270">
        <f>'[2]Dane dodatkowe Bank'!$AW$88</f>
        <v>42</v>
      </c>
      <c r="AQ73" s="1292">
        <v>42</v>
      </c>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row>
    <row r="74" spans="1:90" ht="15.95" customHeight="1">
      <c r="A74" s="321" t="s">
        <v>95</v>
      </c>
      <c r="B74" s="322" t="s">
        <v>96</v>
      </c>
      <c r="C74" s="322"/>
      <c r="D74" s="319">
        <v>2201</v>
      </c>
      <c r="E74" s="319">
        <v>2223</v>
      </c>
      <c r="F74" s="319">
        <v>2202</v>
      </c>
      <c r="G74" s="319">
        <v>2175</v>
      </c>
      <c r="H74" s="319">
        <v>2132</v>
      </c>
      <c r="I74" s="319">
        <v>2028</v>
      </c>
      <c r="J74" s="319">
        <v>1983</v>
      </c>
      <c r="K74" s="319">
        <v>1942</v>
      </c>
      <c r="L74" s="319">
        <v>1848</v>
      </c>
      <c r="M74" s="319">
        <v>1709</v>
      </c>
      <c r="N74" s="319">
        <v>1560</v>
      </c>
      <c r="O74" s="319">
        <v>1400</v>
      </c>
      <c r="P74" s="319">
        <v>1253</v>
      </c>
      <c r="Q74" s="319">
        <v>1218</v>
      </c>
      <c r="R74" s="319">
        <v>1210</v>
      </c>
      <c r="S74" s="319">
        <v>1208</v>
      </c>
      <c r="T74" s="319">
        <v>1202</v>
      </c>
      <c r="U74" s="319">
        <v>1149</v>
      </c>
      <c r="V74" s="319">
        <v>1115</v>
      </c>
      <c r="W74" s="323">
        <v>1074</v>
      </c>
      <c r="X74" s="323">
        <v>1069</v>
      </c>
      <c r="Y74" s="323">
        <v>1054</v>
      </c>
      <c r="Z74" s="313">
        <v>1027</v>
      </c>
      <c r="AA74" s="313">
        <v>1001</v>
      </c>
      <c r="AB74" s="313">
        <v>965</v>
      </c>
      <c r="AC74" s="323">
        <v>926</v>
      </c>
      <c r="AD74" s="313">
        <v>887</v>
      </c>
      <c r="AE74" s="313">
        <v>881</v>
      </c>
      <c r="AF74" s="313">
        <v>870</v>
      </c>
      <c r="AG74" s="313">
        <v>857</v>
      </c>
      <c r="AH74" s="313">
        <v>851</v>
      </c>
      <c r="AI74" s="313">
        <v>837</v>
      </c>
      <c r="AJ74" s="313">
        <v>819</v>
      </c>
      <c r="AK74" s="313">
        <v>790</v>
      </c>
      <c r="AL74" s="313">
        <v>769</v>
      </c>
      <c r="AM74" s="313">
        <v>745</v>
      </c>
      <c r="AN74" s="313">
        <v>712</v>
      </c>
      <c r="AO74" s="313">
        <f>'[2]Dane dodatkowe Bank'!$AV$93</f>
        <v>600</v>
      </c>
      <c r="AP74" s="313">
        <f>'[2]Dane dodatkowe Bank'!$AW$93</f>
        <v>590</v>
      </c>
      <c r="AQ74" s="314">
        <v>577</v>
      </c>
    </row>
    <row r="75" spans="1:90" ht="15.95" customHeight="1">
      <c r="A75" s="321" t="s">
        <v>97</v>
      </c>
      <c r="B75" s="322" t="s">
        <v>98</v>
      </c>
      <c r="C75" s="322"/>
      <c r="D75" s="319">
        <v>2339</v>
      </c>
      <c r="E75" s="319">
        <v>2356</v>
      </c>
      <c r="F75" s="319">
        <v>2368</v>
      </c>
      <c r="G75" s="319">
        <v>2388</v>
      </c>
      <c r="H75" s="319">
        <v>2390</v>
      </c>
      <c r="I75" s="319">
        <v>2390</v>
      </c>
      <c r="J75" s="319">
        <v>2388</v>
      </c>
      <c r="K75" s="319">
        <v>2419</v>
      </c>
      <c r="L75" s="319">
        <v>2419</v>
      </c>
      <c r="M75" s="319">
        <v>2426</v>
      </c>
      <c r="N75" s="319">
        <v>2425</v>
      </c>
      <c r="O75" s="319">
        <v>2457</v>
      </c>
      <c r="P75" s="319">
        <v>2465</v>
      </c>
      <c r="Q75" s="319">
        <v>2525</v>
      </c>
      <c r="R75" s="319">
        <v>2569</v>
      </c>
      <c r="S75" s="319">
        <v>2803</v>
      </c>
      <c r="T75" s="319">
        <v>2911</v>
      </c>
      <c r="U75" s="319">
        <v>2945</v>
      </c>
      <c r="V75" s="319">
        <v>2960</v>
      </c>
      <c r="W75" s="323">
        <v>2992</v>
      </c>
      <c r="X75" s="323">
        <v>3028</v>
      </c>
      <c r="Y75" s="323">
        <v>3040</v>
      </c>
      <c r="Z75" s="313">
        <v>3056</v>
      </c>
      <c r="AA75" s="313">
        <v>3065</v>
      </c>
      <c r="AB75" s="313">
        <v>3073</v>
      </c>
      <c r="AC75" s="323">
        <v>3217</v>
      </c>
      <c r="AD75" s="313">
        <v>3214</v>
      </c>
      <c r="AE75" s="313">
        <v>3196</v>
      </c>
      <c r="AF75" s="313">
        <v>3191</v>
      </c>
      <c r="AG75" s="313">
        <v>3200</v>
      </c>
      <c r="AH75" s="313">
        <v>3178</v>
      </c>
      <c r="AI75" s="313">
        <v>3206</v>
      </c>
      <c r="AJ75" s="313">
        <v>3196</v>
      </c>
      <c r="AK75" s="313">
        <v>3213</v>
      </c>
      <c r="AL75" s="313">
        <v>3208</v>
      </c>
      <c r="AM75" s="313">
        <v>3190</v>
      </c>
      <c r="AN75" s="313">
        <v>3179</v>
      </c>
      <c r="AO75" s="313">
        <f>'[2]Dane dodatkowe Bank'!$AV$92</f>
        <v>3185</v>
      </c>
      <c r="AP75" s="313">
        <f>'[2]Dane dodatkowe Bank'!$AW$92</f>
        <v>3146</v>
      </c>
      <c r="AQ75" s="314">
        <v>3133</v>
      </c>
    </row>
    <row r="76" spans="1:90" ht="15.95" customHeight="1">
      <c r="A76" s="330" t="s">
        <v>138</v>
      </c>
      <c r="B76" s="331" t="s">
        <v>139</v>
      </c>
      <c r="C76" s="331"/>
      <c r="D76" s="345"/>
      <c r="E76" s="345"/>
      <c r="F76" s="345"/>
      <c r="G76" s="346"/>
      <c r="H76" s="346"/>
      <c r="I76" s="346"/>
      <c r="J76" s="346"/>
      <c r="K76" s="346"/>
      <c r="L76" s="346"/>
      <c r="M76" s="346"/>
      <c r="N76" s="346"/>
      <c r="O76" s="346"/>
      <c r="P76" s="346"/>
      <c r="Q76" s="346"/>
      <c r="R76" s="346"/>
      <c r="S76" s="346"/>
      <c r="T76" s="319">
        <f>'[2]Dane dodatkowe Bank'!$AA$78/1000</f>
        <v>11.295999999999999</v>
      </c>
      <c r="U76" s="319">
        <f>'[2]Dane dodatkowe Bank'!$AB$78/1000</f>
        <v>38.823</v>
      </c>
      <c r="V76" s="319">
        <v>55</v>
      </c>
      <c r="W76" s="332">
        <v>96</v>
      </c>
      <c r="X76" s="332">
        <v>129</v>
      </c>
      <c r="Y76" s="332">
        <v>159</v>
      </c>
      <c r="Z76" s="333">
        <v>184</v>
      </c>
      <c r="AA76" s="333">
        <v>212</v>
      </c>
      <c r="AB76" s="333">
        <f>'[2]Dane dodatkowe Bank'!$AI$78/1000</f>
        <v>270.06599999999997</v>
      </c>
      <c r="AC76" s="332">
        <f>'[2]Dane dodatkowe Bank'!$AJ$78/1000</f>
        <v>307.60899999999998</v>
      </c>
      <c r="AD76" s="333">
        <f>'[2]Dane dodatkowe Bank'!$AK$78/1000</f>
        <v>353.85700000000003</v>
      </c>
      <c r="AE76" s="333">
        <f>'[2]Dane dodatkowe Bank'!$AL$78/1000</f>
        <v>430.577</v>
      </c>
      <c r="AF76" s="333">
        <f>'[2]Dane dodatkowe Bank'!$AM$78/1000</f>
        <v>554.14599999999996</v>
      </c>
      <c r="AG76" s="333">
        <f>'[2]Dane dodatkowe Bank'!$AN$78/1000</f>
        <v>622.96199999999999</v>
      </c>
      <c r="AH76" s="333">
        <f>'[2]Dane dodatkowe Bank'!$AO$78/1000</f>
        <v>817.85400000000004</v>
      </c>
      <c r="AI76" s="333">
        <f>'[2]Dane dodatkowe Bank'!$AP$78/1000</f>
        <v>1044.7349999999999</v>
      </c>
      <c r="AJ76" s="334">
        <v>1243</v>
      </c>
      <c r="AK76" s="334">
        <v>1459</v>
      </c>
      <c r="AL76" s="334">
        <v>1708</v>
      </c>
      <c r="AM76" s="334">
        <v>2120</v>
      </c>
      <c r="AN76" s="334">
        <v>2356</v>
      </c>
      <c r="AO76" s="334">
        <v>2592</v>
      </c>
      <c r="AP76" s="334">
        <v>2875</v>
      </c>
      <c r="AQ76" s="335">
        <v>3120</v>
      </c>
    </row>
    <row r="77" spans="1:90" ht="15.95" customHeight="1">
      <c r="A77" s="336" t="s">
        <v>99</v>
      </c>
      <c r="B77" s="322" t="s">
        <v>100</v>
      </c>
      <c r="C77" s="322"/>
      <c r="D77" s="319">
        <v>28940</v>
      </c>
      <c r="E77" s="319">
        <v>28794</v>
      </c>
      <c r="F77" s="319">
        <v>28517</v>
      </c>
      <c r="G77" s="319">
        <v>27846</v>
      </c>
      <c r="H77" s="319">
        <v>27732</v>
      </c>
      <c r="I77" s="319">
        <v>27540</v>
      </c>
      <c r="J77" s="319">
        <v>27119</v>
      </c>
      <c r="K77" s="319">
        <v>26770</v>
      </c>
      <c r="L77" s="319">
        <v>26648.799999999999</v>
      </c>
      <c r="M77" s="319">
        <v>26490.11</v>
      </c>
      <c r="N77" s="319">
        <v>26201</v>
      </c>
      <c r="O77" s="319">
        <v>25908</v>
      </c>
      <c r="P77" s="319">
        <v>25668</v>
      </c>
      <c r="Q77" s="319">
        <v>25437</v>
      </c>
      <c r="R77" s="319">
        <v>25312.6</v>
      </c>
      <c r="S77" s="319">
        <v>25399</v>
      </c>
      <c r="T77" s="319">
        <v>25128</v>
      </c>
      <c r="U77" s="319">
        <v>24673.4</v>
      </c>
      <c r="V77" s="319">
        <v>24645.599999999999</v>
      </c>
      <c r="W77" s="319">
        <v>24437</v>
      </c>
      <c r="X77" s="319">
        <v>24373</v>
      </c>
      <c r="Y77" s="319">
        <v>24421</v>
      </c>
      <c r="Z77" s="313">
        <v>24398</v>
      </c>
      <c r="AA77" s="313">
        <v>25927</v>
      </c>
      <c r="AB77" s="313">
        <v>25844</v>
      </c>
      <c r="AC77" s="319">
        <v>25741</v>
      </c>
      <c r="AD77" s="313">
        <v>25784</v>
      </c>
      <c r="AE77" s="313">
        <v>25909</v>
      </c>
      <c r="AF77" s="313">
        <v>25644</v>
      </c>
      <c r="AG77" s="313">
        <v>25443</v>
      </c>
      <c r="AH77" s="313">
        <v>25403</v>
      </c>
      <c r="AI77" s="313">
        <v>25381</v>
      </c>
      <c r="AJ77" s="313">
        <v>25035</v>
      </c>
      <c r="AK77" s="313">
        <v>24725</v>
      </c>
      <c r="AL77" s="313">
        <v>24581</v>
      </c>
      <c r="AM77" s="313">
        <v>24539</v>
      </c>
      <c r="AN77" s="313">
        <v>24699</v>
      </c>
      <c r="AO77" s="313">
        <f>'[2]Dane dodatkowe Bank'!$AV$95</f>
        <v>24678.387999999999</v>
      </c>
      <c r="AP77" s="313">
        <f>'[2]Dane dodatkowe Bank'!$AW$95</f>
        <v>24376.418000000001</v>
      </c>
      <c r="AQ77" s="314">
        <v>24192</v>
      </c>
    </row>
    <row r="78" spans="1:90" ht="15.95" customHeight="1">
      <c r="A78" s="336" t="s">
        <v>101</v>
      </c>
      <c r="B78" s="322" t="s">
        <v>102</v>
      </c>
      <c r="C78" s="322"/>
      <c r="D78" s="323">
        <v>32475</v>
      </c>
      <c r="E78" s="323">
        <v>32107</v>
      </c>
      <c r="F78" s="323">
        <v>31829</v>
      </c>
      <c r="G78" s="323">
        <v>31098.305</v>
      </c>
      <c r="H78" s="323">
        <v>30964.46</v>
      </c>
      <c r="I78" s="323">
        <v>30702.1</v>
      </c>
      <c r="J78" s="323">
        <v>30198.799999999999</v>
      </c>
      <c r="K78" s="323">
        <v>29780</v>
      </c>
      <c r="L78" s="323">
        <v>29673.200000000001</v>
      </c>
      <c r="M78" s="323">
        <v>29533.91</v>
      </c>
      <c r="N78" s="323">
        <v>29217.7</v>
      </c>
      <c r="O78" s="323">
        <v>28924</v>
      </c>
      <c r="P78" s="323">
        <v>28762</v>
      </c>
      <c r="Q78" s="323">
        <v>28551.755000000001</v>
      </c>
      <c r="R78" s="323">
        <v>28465.3</v>
      </c>
      <c r="S78" s="323">
        <v>28556</v>
      </c>
      <c r="T78" s="323">
        <v>28246</v>
      </c>
      <c r="U78" s="323">
        <v>27793.599999999999</v>
      </c>
      <c r="V78" s="323">
        <v>27814.400000000001</v>
      </c>
      <c r="W78" s="323">
        <v>27387</v>
      </c>
      <c r="X78" s="323">
        <v>27504</v>
      </c>
      <c r="Y78" s="323">
        <v>29386</v>
      </c>
      <c r="Z78" s="313">
        <v>29143</v>
      </c>
      <c r="AA78" s="313">
        <v>29032</v>
      </c>
      <c r="AB78" s="313">
        <v>28982</v>
      </c>
      <c r="AC78" s="323">
        <v>28909</v>
      </c>
      <c r="AD78" s="313">
        <v>28988</v>
      </c>
      <c r="AE78" s="313">
        <v>29221</v>
      </c>
      <c r="AF78" s="313">
        <v>29019</v>
      </c>
      <c r="AG78" s="313">
        <v>28867</v>
      </c>
      <c r="AH78" s="313">
        <v>28891</v>
      </c>
      <c r="AI78" s="313">
        <v>29441</v>
      </c>
      <c r="AJ78" s="313">
        <v>29169</v>
      </c>
      <c r="AK78" s="313">
        <v>28825</v>
      </c>
      <c r="AL78" s="313">
        <v>28414</v>
      </c>
      <c r="AM78" s="313">
        <v>28443</v>
      </c>
      <c r="AN78" s="313">
        <v>28574</v>
      </c>
      <c r="AO78" s="313">
        <f>'[2]Dane dodatkowe Bank'!$AV$97</f>
        <v>28525.275999999998</v>
      </c>
      <c r="AP78" s="313">
        <f>'[2]Dane dodatkowe Bank'!$AW$97</f>
        <v>28153.191000000003</v>
      </c>
      <c r="AQ78" s="314">
        <v>27856</v>
      </c>
    </row>
    <row r="79" spans="1:90" ht="14.25" customHeight="1">
      <c r="B79" s="404"/>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row>
    <row r="80" spans="1:90" ht="14.25" customHeight="1">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row>
    <row r="81" spans="1:43" ht="14.25" customHeight="1">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row>
    <row r="82" spans="1:43" ht="14.25" customHeight="1">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row>
    <row r="83" spans="1:43" ht="14.25" customHeight="1">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row>
    <row r="84" spans="1:43" ht="14.25" customHeight="1">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row>
    <row r="85" spans="1:43" ht="14.25" customHeight="1">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row>
    <row r="86" spans="1:43" ht="14.25" customHeight="1">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row>
    <row r="87" spans="1:43" ht="14.25" customHeight="1">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row>
    <row r="88" spans="1:43" ht="14.25" customHeight="1">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row>
    <row r="89" spans="1:43" ht="14.25" customHeight="1">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row>
    <row r="90" spans="1:43" ht="14.25" customHeight="1">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row>
    <row r="91" spans="1:43" ht="14.25" customHeight="1">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row>
    <row r="92" spans="1:43" ht="14.25" customHeight="1">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row>
    <row r="93" spans="1:43" ht="14.25" customHeight="1">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row>
    <row r="94" spans="1:43" ht="14.25" customHeight="1">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row>
    <row r="95" spans="1:43" ht="14.25" customHeight="1">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row>
    <row r="96" spans="1:43" ht="14.25" customHeight="1">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row>
    <row r="97" spans="1:43" ht="14.25" customHeight="1">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row>
    <row r="98" spans="1:43" ht="14.25" customHeight="1">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row>
    <row r="99" spans="1:43" ht="14.25" customHeight="1">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row>
    <row r="100" spans="1:43" ht="14.25" customHeight="1">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row>
    <row r="101" spans="1:43" ht="14.25" customHeight="1">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row>
    <row r="102" spans="1:43" ht="14.25" customHeight="1">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row>
    <row r="103" spans="1:43" ht="14.25" customHeight="1">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row>
    <row r="104" spans="1:43" ht="14.25" customHeight="1">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row>
    <row r="105" spans="1:43" ht="14.25" customHeight="1">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row>
    <row r="106" spans="1:43" ht="14.25" customHeight="1">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row>
    <row r="107" spans="1:43" ht="14.25" customHeight="1">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row>
    <row r="108" spans="1:43" ht="14.25" customHeight="1">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row>
    <row r="109" spans="1:43" ht="14.25" customHeight="1">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row>
    <row r="110" spans="1:43" ht="14.25" customHeight="1">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row>
    <row r="111" spans="1:43" ht="14.25" customHeight="1">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row>
    <row r="112" spans="1:43" ht="14.25" customHeight="1">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row>
    <row r="113" spans="1:43" ht="14.25" customHeight="1">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row>
    <row r="114" spans="1:43" ht="14.25" customHeight="1">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row>
    <row r="115" spans="1:43" ht="14.25" customHeight="1">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row>
    <row r="116" spans="1:43" ht="14.25" customHeight="1">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row>
    <row r="117" spans="1:43" ht="14.25" customHeight="1">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row>
    <row r="118" spans="1:43" ht="14.25" customHeight="1">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row>
    <row r="119" spans="1:43" ht="14.25" customHeight="1">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row>
    <row r="120" spans="1:43" ht="14.25" customHeight="1">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row>
    <row r="121" spans="1:43" ht="14.25" customHeight="1">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row>
    <row r="122" spans="1:43" ht="14.25" customHeight="1">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row>
    <row r="123" spans="1:43" ht="14.25" customHeight="1">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row>
    <row r="124" spans="1:43" ht="14.25" customHeight="1">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row>
    <row r="125" spans="1:43" ht="14.25" customHeight="1">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row>
    <row r="126" spans="1:43" ht="14.25" customHeight="1">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row>
    <row r="127" spans="1:43" ht="14.25" customHeight="1">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row>
    <row r="128" spans="1:43" ht="14.25" customHeight="1">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row>
    <row r="129" spans="1:43" ht="14.25" customHeight="1">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row>
    <row r="130" spans="1:43" ht="14.25" customHeight="1">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row>
    <row r="131" spans="1:43" ht="14.25" customHeight="1">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row>
    <row r="132" spans="1:43" ht="14.25" customHeight="1">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row>
    <row r="133" spans="1:43" ht="14.25" customHeight="1">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row>
    <row r="134" spans="1:43" ht="14.25" customHeight="1">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row>
    <row r="135" spans="1:43" ht="14.25" customHeight="1">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row>
    <row r="136" spans="1:43" ht="14.25" customHeight="1">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row>
    <row r="137" spans="1:43" ht="14.25" customHeight="1">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row>
    <row r="138" spans="1:43" ht="14.25" customHeight="1">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row>
    <row r="139" spans="1:43" ht="14.25" customHeight="1">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row>
    <row r="140" spans="1:43" ht="14.25" customHeight="1">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row>
    <row r="141" spans="1:43" ht="14.25" customHeight="1">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row>
    <row r="142" spans="1:43" ht="14.25" customHeight="1">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row>
    <row r="143" spans="1:43" ht="14.25" customHeight="1">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row>
    <row r="144" spans="1:43" ht="14.25" customHeight="1">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row>
    <row r="145" spans="1:43" ht="14.25" customHeight="1">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row>
    <row r="146" spans="1:43" ht="14.25" customHeight="1">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row>
    <row r="147" spans="1:43" ht="14.25" customHeight="1">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row>
    <row r="148" spans="1:43" ht="14.25" customHeight="1">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row>
    <row r="149" spans="1:43" ht="14.25" customHeight="1">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row>
    <row r="150" spans="1:43" ht="14.25" customHeight="1">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row>
    <row r="151" spans="1:43" ht="14.25"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row>
    <row r="152" spans="1:43" ht="14.25" customHeight="1">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row>
    <row r="153" spans="1:43" ht="14.25" customHeight="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row>
    <row r="154" spans="1:43" ht="14.25" customHeight="1">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row>
    <row r="155" spans="1:43" ht="14.25" customHeight="1">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row>
    <row r="156" spans="1:43" ht="14.25" customHeight="1">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row>
    <row r="157" spans="1:43" ht="14.25" customHeight="1">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row>
    <row r="158" spans="1:43" ht="14.25" customHeight="1">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row>
    <row r="159" spans="1:43" ht="14.25" customHeight="1">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row>
    <row r="160" spans="1:43" ht="14.25" customHeight="1">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row>
    <row r="161" spans="1:43" ht="14.25" customHeight="1">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row>
    <row r="162" spans="1:43" ht="14.25" customHeight="1">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row>
    <row r="163" spans="1:43" ht="14.25" customHeight="1">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row>
    <row r="164" spans="1:43" ht="14.25" customHeight="1">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row>
    <row r="165" spans="1:43" ht="14.25" customHeight="1">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row>
    <row r="166" spans="1:43" ht="14.25" customHeight="1">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row>
    <row r="167" spans="1:43" ht="14.25" customHeight="1">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row>
    <row r="168" spans="1:43" ht="14.25" customHeight="1">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row>
    <row r="169" spans="1:43" ht="14.25" customHeight="1">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row>
    <row r="170" spans="1:43" ht="14.25" customHeight="1">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row>
    <row r="171" spans="1:43" ht="14.25" customHeight="1">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row>
    <row r="172" spans="1:43" ht="14.25" customHeight="1">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row>
    <row r="173" spans="1:43" ht="14.25" customHeight="1">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row>
    <row r="174" spans="1:43" ht="14.25" customHeight="1">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row>
    <row r="175" spans="1:43" ht="14.25" customHeight="1">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row>
    <row r="176" spans="1:43" ht="14.25" customHeight="1">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row>
    <row r="177" spans="1:43" ht="14.25" customHeight="1">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row>
    <row r="178" spans="1:43" ht="14.25" customHeight="1">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row>
    <row r="179" spans="1:43" ht="14.25" customHeight="1">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row>
    <row r="180" spans="1:43" ht="14.25" customHeight="1">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row>
    <row r="181" spans="1:43" ht="14.2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row>
    <row r="182" spans="1:43" ht="14.25" customHeight="1">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row>
    <row r="183" spans="1:43" ht="14.25" customHeight="1">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row>
    <row r="184" spans="1:43" ht="14.25" customHeight="1">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row>
    <row r="185" spans="1:43" ht="14.25" customHeight="1">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row>
    <row r="186" spans="1:43" ht="14.25" customHeight="1">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row>
    <row r="187" spans="1:43" ht="14.25" customHeight="1">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row>
    <row r="188" spans="1:43" ht="14.25" customHeight="1">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row>
    <row r="189" spans="1:43" ht="14.25" customHeight="1">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row>
    <row r="190" spans="1:43" ht="14.25" customHeight="1">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row>
    <row r="191" spans="1:43" ht="14.25" customHeight="1">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row>
    <row r="192" spans="1:43" ht="14.25" customHeight="1">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row>
    <row r="193" spans="1:43" ht="14.25" customHeight="1">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row>
    <row r="194" spans="1:43" ht="14.25" customHeight="1">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row>
    <row r="195" spans="1:43" ht="14.25" customHeight="1">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row>
    <row r="196" spans="1:43" ht="14.25" customHeight="1">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row>
    <row r="197" spans="1:43" ht="14.25" customHeight="1">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row>
    <row r="198" spans="1:43" ht="14.25" customHeight="1">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row>
    <row r="199" spans="1:43" ht="14.25" customHeight="1">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row>
    <row r="200" spans="1:43" ht="14.25" customHeight="1">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row>
    <row r="201" spans="1:43" ht="14.25" customHeight="1">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row>
    <row r="202" spans="1:43" ht="14.25" customHeight="1">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row>
    <row r="203" spans="1:43" ht="14.25" customHeight="1">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row>
    <row r="204" spans="1:43" ht="14.25" customHeight="1">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row>
    <row r="205" spans="1:43" ht="14.25" customHeight="1">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row>
    <row r="206" spans="1:43" ht="14.25" customHeight="1">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row>
    <row r="207" spans="1:43" ht="14.25" customHeight="1">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row>
    <row r="208" spans="1:43" ht="14.25" customHeight="1">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row>
    <row r="209" spans="1:43" ht="14.25" customHeight="1">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row>
    <row r="210" spans="1:43" ht="14.25" customHeight="1">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row>
    <row r="211" spans="1:43" ht="14.25" customHeight="1">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row>
    <row r="212" spans="1:43" ht="14.25" customHeight="1">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row>
    <row r="213" spans="1:43" ht="14.25" customHeight="1">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row>
    <row r="214" spans="1:43" ht="14.25" customHeight="1">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row>
    <row r="215" spans="1:43" ht="14.25" customHeight="1">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row>
    <row r="216" spans="1:43" ht="14.25" customHeight="1">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row>
    <row r="217" spans="1:43" ht="14.25" customHeight="1">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row>
    <row r="218" spans="1:43" ht="14.25" customHeight="1">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row>
    <row r="219" spans="1:43" ht="14.25" customHeight="1">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row>
    <row r="220" spans="1:43" ht="14.25" customHeight="1">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row>
    <row r="221" spans="1:43" ht="14.25" customHeight="1">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row>
    <row r="222" spans="1:43" ht="14.25" customHeight="1">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row>
    <row r="223" spans="1:43" ht="14.25" customHeight="1">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row>
    <row r="224" spans="1:43" ht="14.25" customHeight="1">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row>
    <row r="225" spans="1:43" ht="14.25" customHeight="1">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row>
    <row r="226" spans="1:43" ht="14.25" customHeight="1">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row>
    <row r="227" spans="1:43" ht="14.25" customHeight="1">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row>
    <row r="228" spans="1:43" ht="14.25" customHeight="1">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row>
    <row r="229" spans="1:43" ht="14.2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row>
    <row r="230" spans="1:43" ht="14.25" customHeight="1">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row>
    <row r="231" spans="1:43" ht="14.25" customHeight="1">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row>
    <row r="232" spans="1:43" ht="14.25" customHeight="1">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row>
    <row r="233" spans="1:43" ht="14.25" customHeight="1">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row>
    <row r="234" spans="1:43" ht="14.25" customHeight="1">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row>
    <row r="235" spans="1:43" ht="14.25" customHeight="1">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row>
    <row r="236" spans="1:43" ht="14.25" customHeight="1">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row>
    <row r="237" spans="1:43" ht="14.25" customHeight="1">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row>
    <row r="238" spans="1:43" ht="14.25" customHeight="1">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row>
    <row r="239" spans="1:43" ht="14.25" customHeight="1">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row>
    <row r="240" spans="1:43" ht="14.25" customHeight="1">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row>
    <row r="241" spans="1:43" ht="14.25" customHeight="1">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row>
    <row r="242" spans="1:43" ht="14.25" customHeight="1">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row>
    <row r="243" spans="1:43" ht="14.25" customHeight="1">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row>
    <row r="244" spans="1:43" ht="14.25" customHeight="1">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row>
    <row r="245" spans="1:43" ht="14.25" customHeight="1">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row>
    <row r="246" spans="1:43" ht="14.25" customHeight="1">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row>
    <row r="247" spans="1:43" ht="14.25" customHeight="1">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row>
    <row r="248" spans="1:43" ht="14.25" customHeight="1">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row>
    <row r="249" spans="1:43" ht="14.25" customHeight="1">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row>
    <row r="250" spans="1:43" ht="14.25" customHeight="1">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row>
    <row r="251" spans="1:43" ht="14.25" customHeight="1">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row>
    <row r="252" spans="1:43" ht="14.2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row>
    <row r="253" spans="1:43" ht="14.25" customHeight="1">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row>
    <row r="254" spans="1:43" ht="14.25" customHeight="1">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row>
    <row r="255" spans="1:43" ht="14.25" customHeight="1">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row>
    <row r="256" spans="1:43" ht="14.25" customHeight="1">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row>
    <row r="257" spans="1:43" ht="14.25" customHeight="1">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row>
    <row r="258" spans="1:43" ht="14.25" customHeight="1">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row>
    <row r="259" spans="1:43" ht="14.25" customHeight="1">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row>
    <row r="260" spans="1:43" ht="14.25" customHeight="1">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row>
    <row r="261" spans="1:43" ht="14.25" customHeight="1">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row>
    <row r="262" spans="1:43" ht="14.25" customHeight="1">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row>
    <row r="263" spans="1:43" ht="14.25" customHeight="1">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row>
    <row r="264" spans="1:43" ht="14.25" customHeight="1">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row>
    <row r="265" spans="1:43" ht="14.25" customHeight="1">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row>
    <row r="266" spans="1:43" ht="14.25" customHeight="1">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row>
    <row r="267" spans="1:43" ht="14.25" customHeight="1">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row>
    <row r="268" spans="1:43" ht="14.25" customHeight="1">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row>
    <row r="269" spans="1:43" ht="14.25" customHeigh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row>
    <row r="270" spans="1:43" ht="14.25" customHeight="1">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row>
    <row r="271" spans="1:43" ht="14.25" customHeight="1">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row>
    <row r="272" spans="1:43" ht="14.25" customHeight="1">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row>
    <row r="273" spans="1:43" ht="14.25" customHeight="1">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row>
    <row r="274" spans="1:43" ht="14.25" customHeight="1">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row>
    <row r="275" spans="1:43" ht="14.25" customHeight="1">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row>
    <row r="276" spans="1:43" ht="14.25" customHeight="1">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row>
    <row r="277" spans="1:43" ht="14.25" customHeight="1">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row>
    <row r="278" spans="1:43" ht="14.25" customHeight="1">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row>
    <row r="279" spans="1:43" ht="14.25" customHeight="1">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row>
    <row r="280" spans="1:43" ht="14.25" customHeight="1">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row>
    <row r="281" spans="1:43" ht="14.25" customHeight="1">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row>
    <row r="282" spans="1:43" ht="14.25" customHeight="1">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row>
    <row r="283" spans="1:43" ht="14.25" customHeight="1">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row>
    <row r="284" spans="1:43" ht="14.25" customHeight="1">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row>
    <row r="285" spans="1:43" ht="14.25" customHeight="1">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row>
    <row r="286" spans="1:43" ht="14.25" customHeight="1">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row>
    <row r="287" spans="1:43" ht="14.25" customHeight="1">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row>
    <row r="288" spans="1:43" ht="14.25" customHeight="1">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row>
    <row r="289" spans="1:43" ht="14.25" customHeight="1">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row>
    <row r="290" spans="1:43" ht="14.25" customHeight="1">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row>
    <row r="291" spans="1:43" ht="14.25" customHeight="1">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row>
    <row r="292" spans="1:43" ht="14.25" customHeight="1">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row>
    <row r="293" spans="1:43" ht="14.25" customHeight="1">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row>
    <row r="294" spans="1:43" ht="14.25" customHeight="1">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row>
    <row r="295" spans="1:43" ht="14.25" customHeight="1">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row>
    <row r="296" spans="1:43" ht="14.25" customHeight="1">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row>
    <row r="297" spans="1:43" ht="14.25" customHeight="1">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row>
    <row r="298" spans="1:43" ht="14.25" customHeight="1">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row>
    <row r="299" spans="1:43" ht="14.25" customHeight="1">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row>
    <row r="300" spans="1:43" ht="14.25" customHeight="1">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row>
    <row r="301" spans="1:43" ht="14.25" customHeight="1">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row>
    <row r="302" spans="1:43" ht="14.25" customHeight="1">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row>
    <row r="303" spans="1:43" ht="14.25" customHeight="1">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row>
    <row r="304" spans="1:43" ht="14.25" customHeight="1">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row>
    <row r="305" spans="1:43" ht="14.25" customHeight="1">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row>
    <row r="306" spans="1:43" ht="14.25" customHeight="1">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row>
    <row r="307" spans="1:43" ht="14.25" customHeight="1">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row>
    <row r="308" spans="1:43" ht="14.25" customHeight="1">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row>
    <row r="309" spans="1:43" ht="14.25" customHeight="1">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row>
    <row r="310" spans="1:43" ht="14.25" customHeight="1">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row>
    <row r="311" spans="1:43" ht="14.25" customHeight="1">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row>
    <row r="312" spans="1:43" ht="14.25" customHeight="1">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row>
    <row r="313" spans="1:43" ht="14.25" customHeight="1">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row>
    <row r="314" spans="1:43" ht="14.25" customHeight="1">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row>
    <row r="315" spans="1:43" ht="14.25" customHeight="1">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row>
    <row r="316" spans="1:43" ht="14.25" customHeight="1">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row>
    <row r="317" spans="1:43" ht="14.25" customHeight="1">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row>
    <row r="318" spans="1:43" ht="14.25" customHeight="1">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row>
    <row r="319" spans="1:43" ht="14.25" customHeight="1">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row>
    <row r="320" spans="1:43" ht="14.25" customHeight="1">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row>
    <row r="321" spans="1:43" ht="14.25" customHeight="1">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row>
    <row r="322" spans="1:43" ht="14.25" customHeight="1">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row>
    <row r="323" spans="1:43" ht="14.25" customHeight="1">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row>
    <row r="324" spans="1:43" ht="14.25" customHeight="1">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row>
    <row r="325" spans="1:43" ht="14.25" customHeight="1">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row>
    <row r="326" spans="1:43" ht="14.25" customHeight="1">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row>
    <row r="327" spans="1:43" ht="14.25" customHeight="1">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row>
    <row r="328" spans="1:43" ht="14.25" customHeight="1">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row>
    <row r="329" spans="1:43" ht="14.25" customHeight="1">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row>
    <row r="330" spans="1:43" ht="14.25" customHeight="1">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row>
    <row r="331" spans="1:43" ht="14.25" customHeight="1">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row>
    <row r="332" spans="1:43" ht="14.25" customHeight="1">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row>
    <row r="333" spans="1:43" ht="14.25" customHeight="1">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row>
    <row r="334" spans="1:43" ht="14.25" customHeight="1">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row>
    <row r="335" spans="1:43" ht="14.25" customHeight="1">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row>
    <row r="336" spans="1:43" ht="14.25" customHeight="1">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row>
    <row r="337" spans="1:43" ht="14.25" customHeight="1">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row>
    <row r="338" spans="1:43" ht="14.25" customHeight="1">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row>
    <row r="339" spans="1:43" ht="14.25" customHeight="1">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row>
    <row r="340" spans="1:43" ht="14.25" customHeight="1">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row>
    <row r="341" spans="1:43" ht="14.25" customHeight="1">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row>
    <row r="342" spans="1:43" ht="14.25" customHeight="1">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row>
    <row r="343" spans="1:43" ht="14.25" customHeight="1">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row>
    <row r="344" spans="1:43" ht="14.25" customHeight="1">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row>
    <row r="345" spans="1:43" ht="14.25" customHeight="1">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row>
    <row r="346" spans="1:43" ht="14.25" customHeight="1">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row>
    <row r="347" spans="1:43" ht="14.25" customHeight="1">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row>
    <row r="348" spans="1:43" ht="14.25" customHeight="1">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row>
    <row r="349" spans="1:43" ht="14.25" customHeight="1">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row>
    <row r="350" spans="1:43" ht="14.25" customHeight="1">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row>
    <row r="351" spans="1:43" ht="14.25" customHeight="1">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row>
    <row r="352" spans="1:43" ht="14.25" customHeight="1">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row>
    <row r="353" spans="1:43" ht="14.25" customHeight="1">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row>
    <row r="354" spans="1:43" ht="14.25" customHeight="1">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row>
    <row r="355" spans="1:43" ht="14.25" customHeight="1">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row>
    <row r="356" spans="1:43" ht="14.25" customHeight="1">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row>
    <row r="357" spans="1:43" ht="14.25" customHeight="1">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row>
    <row r="358" spans="1:43" ht="14.25" customHeight="1">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row>
    <row r="359" spans="1:43" ht="14.25" customHeight="1">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row>
    <row r="360" spans="1:43" ht="14.25" customHeight="1">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row>
    <row r="361" spans="1:43" ht="14.25" customHeight="1">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row>
    <row r="362" spans="1:43" ht="14.25" customHeight="1">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row>
    <row r="363" spans="1:43" ht="14.25" customHeight="1">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row>
    <row r="364" spans="1:43" ht="14.25" customHeight="1">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row>
    <row r="365" spans="1:43" ht="14.25" customHeight="1">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row>
    <row r="366" spans="1:43" ht="14.25" customHeight="1">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row>
    <row r="367" spans="1:43" ht="14.25" customHeight="1">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row>
    <row r="368" spans="1:43" ht="14.25" customHeight="1">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row>
    <row r="369" spans="1:43" ht="14.25" customHeight="1">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row>
    <row r="370" spans="1:43" ht="14.25" customHeight="1">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row>
    <row r="371" spans="1:43" ht="14.25" customHeight="1">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row>
    <row r="372" spans="1:43" ht="14.25" customHeight="1">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row>
    <row r="373" spans="1:43" ht="14.25" customHeight="1">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row>
    <row r="374" spans="1:43" ht="14.25" customHeight="1">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row>
    <row r="375" spans="1:43" ht="14.25" customHeight="1">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row>
    <row r="376" spans="1:43" ht="14.25" customHeight="1">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row>
    <row r="377" spans="1:43" ht="14.25" customHeight="1">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row>
    <row r="378" spans="1:43" ht="14.25" customHeight="1">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row>
    <row r="379" spans="1:43" ht="14.25" customHeight="1">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row>
    <row r="380" spans="1:43" ht="14.25" customHeight="1">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row>
    <row r="381" spans="1:43" ht="14.25" customHeight="1">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row>
    <row r="382" spans="1:43" ht="14.25" customHeight="1">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row>
    <row r="383" spans="1:43" ht="14.25" customHeight="1">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row>
    <row r="384" spans="1:43" ht="14.25" customHeight="1">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row>
    <row r="385" spans="1:43" ht="14.25" customHeight="1">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row>
    <row r="386" spans="1:43" ht="14.25" customHeight="1">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row>
    <row r="387" spans="1:43" ht="14.25" customHeight="1">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row>
    <row r="388" spans="1:43" ht="14.25" customHeight="1">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row>
    <row r="389" spans="1:43" ht="14.25" customHeight="1">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row>
    <row r="390" spans="1:43" ht="14.25" customHeight="1">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row>
    <row r="391" spans="1:43" ht="14.25" customHeight="1">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row>
    <row r="392" spans="1:43" ht="14.25" customHeight="1">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row>
    <row r="393" spans="1:43" ht="14.25" customHeight="1">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row>
    <row r="394" spans="1:43" ht="14.25" customHeight="1">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row>
    <row r="395" spans="1:43" ht="14.25" customHeight="1">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row>
    <row r="396" spans="1:43" ht="14.25" customHeight="1">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c r="AQ396" s="143"/>
    </row>
    <row r="397" spans="1:43" ht="14.25" customHeight="1">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c r="AQ397" s="143"/>
    </row>
    <row r="398" spans="1:43" ht="14.25" customHeight="1">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c r="AQ398" s="143"/>
    </row>
    <row r="399" spans="1:43" ht="14.25" customHeight="1">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c r="AQ399" s="143"/>
    </row>
    <row r="400" spans="1:43" ht="14.25" customHeight="1">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143"/>
    </row>
    <row r="401" spans="1:43" ht="14.25" customHeight="1">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row>
    <row r="402" spans="1:43" ht="14.25" customHeight="1">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c r="AQ402" s="143"/>
    </row>
    <row r="403" spans="1:43" ht="14.25" customHeight="1">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c r="AQ403" s="143"/>
    </row>
    <row r="404" spans="1:43" ht="14.25" customHeight="1">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3"/>
      <c r="AL404" s="143"/>
      <c r="AM404" s="143"/>
      <c r="AN404" s="143"/>
      <c r="AO404" s="143"/>
      <c r="AP404" s="143"/>
      <c r="AQ404" s="143"/>
    </row>
    <row r="405" spans="1:43" ht="14.25" customHeight="1">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c r="AQ405" s="143"/>
    </row>
    <row r="406" spans="1:43" ht="14.25" customHeight="1">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3"/>
      <c r="AL406" s="143"/>
      <c r="AM406" s="143"/>
      <c r="AN406" s="143"/>
      <c r="AO406" s="143"/>
      <c r="AP406" s="143"/>
      <c r="AQ406" s="143"/>
    </row>
    <row r="407" spans="1:43" ht="14.25" customHeight="1">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c r="AQ407" s="143"/>
    </row>
    <row r="408" spans="1:43" ht="14.2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row>
    <row r="409" spans="1:43" ht="14.25" customHeight="1">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row>
    <row r="410" spans="1:43" ht="14.25" customHeight="1">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row>
    <row r="411" spans="1:43" ht="14.25" customHeight="1">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3"/>
      <c r="AL411" s="143"/>
      <c r="AM411" s="143"/>
      <c r="AN411" s="143"/>
      <c r="AO411" s="143"/>
      <c r="AP411" s="143"/>
      <c r="AQ411" s="143"/>
    </row>
    <row r="412" spans="1:43" ht="14.25" customHeight="1">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3"/>
      <c r="AL412" s="143"/>
      <c r="AM412" s="143"/>
      <c r="AN412" s="143"/>
      <c r="AO412" s="143"/>
      <c r="AP412" s="143"/>
      <c r="AQ412" s="143"/>
    </row>
    <row r="413" spans="1:43" ht="14.25" customHeight="1">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c r="AQ413" s="143"/>
    </row>
    <row r="414" spans="1:43" ht="14.25" customHeight="1">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c r="AQ414" s="143"/>
    </row>
    <row r="415" spans="1:43" ht="14.25" customHeight="1">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row>
    <row r="416" spans="1:43" ht="14.25" customHeight="1">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3"/>
      <c r="AO416" s="143"/>
      <c r="AP416" s="143"/>
      <c r="AQ416" s="143"/>
    </row>
    <row r="417" spans="1:43" ht="14.25" customHeight="1">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row>
    <row r="418" spans="1:43" ht="14.25" customHeight="1">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3"/>
      <c r="AL418" s="143"/>
      <c r="AM418" s="143"/>
      <c r="AN418" s="143"/>
      <c r="AO418" s="143"/>
      <c r="AP418" s="143"/>
      <c r="AQ418" s="143"/>
    </row>
    <row r="419" spans="1:43" ht="14.25" customHeight="1">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3"/>
      <c r="AL419" s="143"/>
      <c r="AM419" s="143"/>
      <c r="AN419" s="143"/>
      <c r="AO419" s="143"/>
      <c r="AP419" s="143"/>
      <c r="AQ419" s="143"/>
    </row>
    <row r="420" spans="1:43" ht="14.25" customHeight="1">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c r="AQ420" s="143"/>
    </row>
    <row r="421" spans="1:43" ht="14.25" customHeight="1">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c r="AQ421" s="143"/>
    </row>
    <row r="422" spans="1:43" ht="14.25" customHeight="1">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3"/>
      <c r="AL422" s="143"/>
      <c r="AM422" s="143"/>
      <c r="AN422" s="143"/>
      <c r="AO422" s="143"/>
      <c r="AP422" s="143"/>
      <c r="AQ422" s="143"/>
    </row>
    <row r="423" spans="1:43" ht="14.25" customHeight="1">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3"/>
      <c r="AO423" s="143"/>
      <c r="AP423" s="143"/>
      <c r="AQ423" s="143"/>
    </row>
    <row r="424" spans="1:43" ht="14.25" customHeight="1">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3"/>
      <c r="AL424" s="143"/>
      <c r="AM424" s="143"/>
      <c r="AN424" s="143"/>
      <c r="AO424" s="143"/>
      <c r="AP424" s="143"/>
      <c r="AQ424" s="143"/>
    </row>
    <row r="425" spans="1:43" ht="14.25" customHeight="1">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3"/>
      <c r="AL425" s="143"/>
      <c r="AM425" s="143"/>
      <c r="AN425" s="143"/>
      <c r="AO425" s="143"/>
      <c r="AP425" s="143"/>
      <c r="AQ425" s="143"/>
    </row>
    <row r="426" spans="1:43" ht="14.25" customHeight="1">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3"/>
      <c r="AL426" s="143"/>
      <c r="AM426" s="143"/>
      <c r="AN426" s="143"/>
      <c r="AO426" s="143"/>
      <c r="AP426" s="143"/>
      <c r="AQ426" s="143"/>
    </row>
    <row r="427" spans="1:43" ht="14.25" customHeight="1">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row>
    <row r="428" spans="1:43" ht="14.25" customHeight="1">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row>
    <row r="429" spans="1:43" ht="14.25" customHeight="1">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row>
    <row r="430" spans="1:43" ht="14.25" customHeight="1">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3"/>
      <c r="AL430" s="143"/>
      <c r="AM430" s="143"/>
      <c r="AN430" s="143"/>
      <c r="AO430" s="143"/>
      <c r="AP430" s="143"/>
      <c r="AQ430" s="143"/>
    </row>
    <row r="431" spans="1:43" ht="14.25" customHeight="1">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c r="AQ431" s="143"/>
    </row>
    <row r="432" spans="1:43" ht="14.25" customHeight="1">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c r="AP432" s="143"/>
      <c r="AQ432" s="143"/>
    </row>
    <row r="433" spans="1:43" ht="14.25" customHeight="1">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3"/>
      <c r="AL433" s="143"/>
      <c r="AM433" s="143"/>
      <c r="AN433" s="143"/>
      <c r="AO433" s="143"/>
      <c r="AP433" s="143"/>
      <c r="AQ433" s="143"/>
    </row>
    <row r="434" spans="1:43" ht="14.25" customHeight="1">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c r="AQ434" s="143"/>
    </row>
    <row r="435" spans="1:43" ht="14.25" customHeight="1">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c r="AQ435" s="143"/>
    </row>
    <row r="436" spans="1:43" ht="14.25" customHeight="1">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3"/>
      <c r="AL436" s="143"/>
      <c r="AM436" s="143"/>
      <c r="AN436" s="143"/>
      <c r="AO436" s="143"/>
      <c r="AP436" s="143"/>
      <c r="AQ436" s="143"/>
    </row>
    <row r="437" spans="1:43" ht="14.25" customHeight="1">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c r="AQ437" s="143"/>
    </row>
    <row r="438" spans="1:43" ht="14.25" customHeight="1">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3"/>
      <c r="AL438" s="143"/>
      <c r="AM438" s="143"/>
      <c r="AN438" s="143"/>
      <c r="AO438" s="143"/>
      <c r="AP438" s="143"/>
      <c r="AQ438" s="143"/>
    </row>
    <row r="439" spans="1:43" ht="14.25" customHeight="1">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3"/>
      <c r="AL439" s="143"/>
      <c r="AM439" s="143"/>
      <c r="AN439" s="143"/>
      <c r="AO439" s="143"/>
      <c r="AP439" s="143"/>
      <c r="AQ439" s="143"/>
    </row>
    <row r="440" spans="1:43" ht="14.25" customHeight="1">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c r="AQ440" s="143"/>
    </row>
    <row r="441" spans="1:43" ht="14.2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row>
    <row r="442" spans="1:43" ht="14.25" customHeight="1">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3"/>
      <c r="AO442" s="143"/>
      <c r="AP442" s="143"/>
      <c r="AQ442" s="143"/>
    </row>
    <row r="443" spans="1:43" ht="14.25" customHeight="1">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3"/>
      <c r="AL443" s="143"/>
      <c r="AM443" s="143"/>
      <c r="AN443" s="143"/>
      <c r="AO443" s="143"/>
      <c r="AP443" s="143"/>
      <c r="AQ443" s="143"/>
    </row>
    <row r="444" spans="1:43" ht="14.25" customHeight="1">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3"/>
      <c r="AL444" s="143"/>
      <c r="AM444" s="143"/>
      <c r="AN444" s="143"/>
      <c r="AO444" s="143"/>
      <c r="AP444" s="143"/>
      <c r="AQ444" s="143"/>
    </row>
    <row r="445" spans="1:43" ht="14.25" customHeight="1">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3"/>
      <c r="AL445" s="143"/>
      <c r="AM445" s="143"/>
      <c r="AN445" s="143"/>
      <c r="AO445" s="143"/>
      <c r="AP445" s="143"/>
      <c r="AQ445" s="143"/>
    </row>
    <row r="446" spans="1:43" ht="14.25" customHeight="1">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3"/>
      <c r="AL446" s="143"/>
      <c r="AM446" s="143"/>
      <c r="AN446" s="143"/>
      <c r="AO446" s="143"/>
      <c r="AP446" s="143"/>
      <c r="AQ446" s="143"/>
    </row>
    <row r="447" spans="1:43" ht="14.25" customHeight="1">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3"/>
      <c r="AL447" s="143"/>
      <c r="AM447" s="143"/>
      <c r="AN447" s="143"/>
      <c r="AO447" s="143"/>
      <c r="AP447" s="143"/>
      <c r="AQ447" s="143"/>
    </row>
    <row r="448" spans="1:43" ht="14.25" customHeight="1">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3"/>
      <c r="AL448" s="143"/>
      <c r="AM448" s="143"/>
      <c r="AN448" s="143"/>
      <c r="AO448" s="143"/>
      <c r="AP448" s="143"/>
      <c r="AQ448" s="143"/>
    </row>
    <row r="449" spans="1:43" ht="14.25" customHeight="1">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3"/>
      <c r="AL449" s="143"/>
      <c r="AM449" s="143"/>
      <c r="AN449" s="143"/>
      <c r="AO449" s="143"/>
      <c r="AP449" s="143"/>
      <c r="AQ449" s="143"/>
    </row>
    <row r="450" spans="1:43" ht="14.25" customHeight="1">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3"/>
      <c r="AL450" s="143"/>
      <c r="AM450" s="143"/>
      <c r="AN450" s="143"/>
      <c r="AO450" s="143"/>
      <c r="AP450" s="143"/>
      <c r="AQ450" s="143"/>
    </row>
    <row r="451" spans="1:43" ht="14.25" customHeight="1">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3"/>
      <c r="AO451" s="143"/>
      <c r="AP451" s="143"/>
      <c r="AQ451" s="143"/>
    </row>
    <row r="452" spans="1:43" ht="14.25" customHeight="1">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3"/>
      <c r="AL452" s="143"/>
      <c r="AM452" s="143"/>
      <c r="AN452" s="143"/>
      <c r="AO452" s="143"/>
      <c r="AP452" s="143"/>
      <c r="AQ452" s="143"/>
    </row>
    <row r="453" spans="1:43" ht="14.25" customHeight="1">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c r="AQ453" s="143"/>
    </row>
    <row r="454" spans="1:43" ht="14.25" customHeight="1">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3"/>
      <c r="AL454" s="143"/>
      <c r="AM454" s="143"/>
      <c r="AN454" s="143"/>
      <c r="AO454" s="143"/>
      <c r="AP454" s="143"/>
      <c r="AQ454" s="143"/>
    </row>
    <row r="455" spans="1:43" ht="14.25" customHeight="1">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3"/>
      <c r="AL455" s="143"/>
      <c r="AM455" s="143"/>
      <c r="AN455" s="143"/>
      <c r="AO455" s="143"/>
      <c r="AP455" s="143"/>
      <c r="AQ455" s="143"/>
    </row>
    <row r="456" spans="1:43" ht="14.25" customHeight="1">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3"/>
      <c r="AL456" s="143"/>
      <c r="AM456" s="143"/>
      <c r="AN456" s="143"/>
      <c r="AO456" s="143"/>
      <c r="AP456" s="143"/>
      <c r="AQ456" s="143"/>
    </row>
    <row r="457" spans="1:43" ht="14.25" customHeight="1">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3"/>
      <c r="AL457" s="143"/>
      <c r="AM457" s="143"/>
      <c r="AN457" s="143"/>
      <c r="AO457" s="143"/>
      <c r="AP457" s="143"/>
      <c r="AQ457" s="143"/>
    </row>
    <row r="458" spans="1:43" ht="14.25" customHeight="1">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3"/>
      <c r="AL458" s="143"/>
      <c r="AM458" s="143"/>
      <c r="AN458" s="143"/>
      <c r="AO458" s="143"/>
      <c r="AP458" s="143"/>
      <c r="AQ458" s="143"/>
    </row>
    <row r="459" spans="1:43" ht="14.25" customHeight="1">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3"/>
      <c r="AL459" s="143"/>
      <c r="AM459" s="143"/>
      <c r="AN459" s="143"/>
      <c r="AO459" s="143"/>
      <c r="AP459" s="143"/>
      <c r="AQ459" s="143"/>
    </row>
    <row r="460" spans="1:43" ht="14.25" customHeight="1">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c r="AQ460" s="143"/>
    </row>
    <row r="461" spans="1:43" ht="14.25" customHeight="1">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3"/>
      <c r="AO461" s="143"/>
      <c r="AP461" s="143"/>
      <c r="AQ461" s="143"/>
    </row>
    <row r="462" spans="1:43" ht="14.25" customHeight="1">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row>
    <row r="463" spans="1:43" ht="14.25" customHeight="1">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row>
    <row r="464" spans="1:43" ht="14.25" customHeight="1">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row>
    <row r="465" spans="1:43" ht="14.25" customHeight="1">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row>
    <row r="466" spans="1:43" ht="14.25" customHeight="1">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3"/>
      <c r="AL466" s="143"/>
      <c r="AM466" s="143"/>
      <c r="AN466" s="143"/>
      <c r="AO466" s="143"/>
      <c r="AP466" s="143"/>
      <c r="AQ466" s="143"/>
    </row>
    <row r="467" spans="1:43" ht="14.25" customHeight="1">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c r="AQ467" s="143"/>
    </row>
    <row r="468" spans="1:43" ht="14.25" customHeight="1">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row>
    <row r="469" spans="1:43" ht="14.25" customHeight="1">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c r="AQ469" s="143"/>
    </row>
    <row r="470" spans="1:43" ht="14.25" customHeight="1">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3"/>
      <c r="AL470" s="143"/>
      <c r="AM470" s="143"/>
      <c r="AN470" s="143"/>
      <c r="AO470" s="143"/>
      <c r="AP470" s="143"/>
      <c r="AQ470" s="143"/>
    </row>
    <row r="471" spans="1:43" ht="14.25" customHeight="1">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3"/>
      <c r="AL471" s="143"/>
      <c r="AM471" s="143"/>
      <c r="AN471" s="143"/>
      <c r="AO471" s="143"/>
      <c r="AP471" s="143"/>
      <c r="AQ471" s="143"/>
    </row>
    <row r="472" spans="1:43" ht="14.25" customHeight="1">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c r="AQ472" s="143"/>
    </row>
    <row r="473" spans="1:43" ht="14.25" customHeight="1">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3"/>
      <c r="AO473" s="143"/>
      <c r="AP473" s="143"/>
      <c r="AQ473" s="143"/>
    </row>
    <row r="474" spans="1:43" ht="14.25" customHeight="1">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3"/>
      <c r="AL474" s="143"/>
      <c r="AM474" s="143"/>
      <c r="AN474" s="143"/>
      <c r="AO474" s="143"/>
      <c r="AP474" s="143"/>
      <c r="AQ474" s="143"/>
    </row>
    <row r="475" spans="1:43" ht="14.25" customHeight="1">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3"/>
      <c r="AL475" s="143"/>
      <c r="AM475" s="143"/>
      <c r="AN475" s="143"/>
      <c r="AO475" s="143"/>
      <c r="AP475" s="143"/>
      <c r="AQ475" s="143"/>
    </row>
    <row r="476" spans="1:43" ht="14.25" customHeight="1">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3"/>
      <c r="AL476" s="143"/>
      <c r="AM476" s="143"/>
      <c r="AN476" s="143"/>
      <c r="AO476" s="143"/>
      <c r="AP476" s="143"/>
      <c r="AQ476" s="143"/>
    </row>
    <row r="477" spans="1:43" ht="14.25" customHeight="1">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3"/>
      <c r="AL477" s="143"/>
      <c r="AM477" s="143"/>
      <c r="AN477" s="143"/>
      <c r="AO477" s="143"/>
      <c r="AP477" s="143"/>
      <c r="AQ477" s="143"/>
    </row>
    <row r="478" spans="1:43" ht="14.25" customHeight="1">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3"/>
      <c r="AL478" s="143"/>
      <c r="AM478" s="143"/>
      <c r="AN478" s="143"/>
      <c r="AO478" s="143"/>
      <c r="AP478" s="143"/>
      <c r="AQ478" s="143"/>
    </row>
    <row r="479" spans="1:43" ht="14.25" customHeight="1">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c r="AQ479" s="143"/>
    </row>
    <row r="480" spans="1:43" ht="14.25" customHeight="1">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3"/>
      <c r="AL480" s="143"/>
      <c r="AM480" s="143"/>
      <c r="AN480" s="143"/>
      <c r="AO480" s="143"/>
      <c r="AP480" s="143"/>
      <c r="AQ480" s="143"/>
    </row>
    <row r="481" spans="1:43" ht="14.25" customHeight="1">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row>
    <row r="482" spans="1:43" ht="14.25" customHeight="1">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row>
    <row r="483" spans="1:43" ht="14.25" customHeight="1">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row>
    <row r="484" spans="1:43" ht="14.25" customHeight="1">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3"/>
      <c r="AL484" s="143"/>
      <c r="AM484" s="143"/>
      <c r="AN484" s="143"/>
      <c r="AO484" s="143"/>
      <c r="AP484" s="143"/>
      <c r="AQ484" s="143"/>
    </row>
    <row r="485" spans="1:43" ht="14.25" customHeight="1">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3"/>
      <c r="AL485" s="143"/>
      <c r="AM485" s="143"/>
      <c r="AN485" s="143"/>
      <c r="AO485" s="143"/>
      <c r="AP485" s="143"/>
      <c r="AQ485" s="143"/>
    </row>
    <row r="486" spans="1:43" ht="14.25" customHeight="1">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3"/>
      <c r="AL486" s="143"/>
      <c r="AM486" s="143"/>
      <c r="AN486" s="143"/>
      <c r="AO486" s="143"/>
      <c r="AP486" s="143"/>
      <c r="AQ486" s="143"/>
    </row>
    <row r="487" spans="1:43" ht="14.25" customHeight="1">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row>
    <row r="488" spans="1:43" ht="14.25" customHeight="1">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row>
    <row r="489" spans="1:43" ht="14.25" customHeight="1">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row>
    <row r="490" spans="1:43" ht="14.25" customHeight="1">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row>
    <row r="491" spans="1:43" ht="14.25" customHeight="1">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row>
    <row r="492" spans="1:43" ht="14.25" customHeight="1">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row>
    <row r="493" spans="1:43" ht="14.25" customHeight="1">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row>
    <row r="494" spans="1:43" ht="14.25" customHeight="1">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row>
    <row r="495" spans="1:43" ht="14.25" customHeight="1">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row>
    <row r="496" spans="1:43" ht="14.25" customHeight="1">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row>
    <row r="497" spans="1:43" ht="14.25" customHeight="1">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row>
    <row r="498" spans="1:43" ht="14.25" customHeight="1">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row>
    <row r="499" spans="1:43" ht="14.25" customHeight="1">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row>
    <row r="500" spans="1:43" ht="14.25" customHeight="1">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row>
    <row r="501" spans="1:43" ht="14.25" customHeight="1">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row>
    <row r="502" spans="1:43" ht="14.25" customHeight="1">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row>
    <row r="503" spans="1:43" ht="14.25" customHeight="1">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row>
    <row r="504" spans="1:43" ht="14.25" customHeight="1">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row>
    <row r="505" spans="1:43" ht="14.25" customHeight="1">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row>
    <row r="506" spans="1:43" ht="14.25" customHeight="1">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row>
    <row r="507" spans="1:43" ht="14.25" customHeight="1">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row>
    <row r="508" spans="1:43" ht="14.25" customHeight="1">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row>
    <row r="509" spans="1:43" ht="14.25" customHeight="1">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row>
    <row r="510" spans="1:43" ht="14.25" customHeight="1">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row>
    <row r="511" spans="1:43" ht="14.25" customHeight="1">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row>
    <row r="512" spans="1:43" ht="14.25" customHeight="1">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row>
    <row r="513" spans="1:43" ht="14.25" customHeight="1">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row>
    <row r="514" spans="1:43" ht="14.25" customHeight="1">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row>
    <row r="515" spans="1:43" ht="14.25" customHeight="1">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c r="AQ515" s="143"/>
    </row>
    <row r="516" spans="1:43" ht="14.25" customHeight="1">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row>
    <row r="517" spans="1:43" ht="14.25" customHeight="1">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row>
    <row r="518" spans="1:43" ht="14.25" customHeight="1">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row>
    <row r="519" spans="1:43" ht="14.25" customHeight="1">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row>
    <row r="520" spans="1:43" ht="14.25" customHeight="1">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c r="AH520" s="143"/>
      <c r="AI520" s="143"/>
      <c r="AJ520" s="143"/>
      <c r="AK520" s="143"/>
      <c r="AL520" s="143"/>
      <c r="AM520" s="143"/>
      <c r="AN520" s="143"/>
      <c r="AO520" s="143"/>
      <c r="AP520" s="143"/>
      <c r="AQ520" s="143"/>
    </row>
    <row r="521" spans="1:43" ht="14.25" customHeight="1">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c r="AQ521" s="143"/>
    </row>
    <row r="522" spans="1:43" ht="14.25" customHeight="1">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c r="AQ522" s="143"/>
    </row>
    <row r="523" spans="1:43" ht="14.25" customHeight="1">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c r="AH523" s="143"/>
      <c r="AI523" s="143"/>
      <c r="AJ523" s="143"/>
      <c r="AK523" s="143"/>
      <c r="AL523" s="143"/>
      <c r="AM523" s="143"/>
      <c r="AN523" s="143"/>
      <c r="AO523" s="143"/>
      <c r="AP523" s="143"/>
      <c r="AQ523" s="143"/>
    </row>
    <row r="524" spans="1:43" ht="14.25" customHeight="1">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c r="AQ524" s="143"/>
    </row>
    <row r="525" spans="1:43" ht="14.25" customHeight="1">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c r="AQ525" s="143"/>
    </row>
    <row r="526" spans="1:43" ht="14.25" customHeight="1">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c r="AH526" s="143"/>
      <c r="AI526" s="143"/>
      <c r="AJ526" s="143"/>
      <c r="AK526" s="143"/>
      <c r="AL526" s="143"/>
      <c r="AM526" s="143"/>
      <c r="AN526" s="143"/>
      <c r="AO526" s="143"/>
      <c r="AP526" s="143"/>
      <c r="AQ526" s="143"/>
    </row>
    <row r="527" spans="1:43" ht="14.25" customHeight="1">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3"/>
      <c r="AL527" s="143"/>
      <c r="AM527" s="143"/>
      <c r="AN527" s="143"/>
      <c r="AO527" s="143"/>
      <c r="AP527" s="143"/>
      <c r="AQ527" s="143"/>
    </row>
    <row r="528" spans="1:43" ht="14.25" customHeight="1">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c r="AH528" s="143"/>
      <c r="AI528" s="143"/>
      <c r="AJ528" s="143"/>
      <c r="AK528" s="143"/>
      <c r="AL528" s="143"/>
      <c r="AM528" s="143"/>
      <c r="AN528" s="143"/>
      <c r="AO528" s="143"/>
      <c r="AP528" s="143"/>
      <c r="AQ528" s="143"/>
    </row>
    <row r="529" spans="1:43" ht="14.25" customHeight="1">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c r="AA529" s="143"/>
      <c r="AB529" s="143"/>
      <c r="AC529" s="143"/>
      <c r="AD529" s="143"/>
      <c r="AE529" s="143"/>
      <c r="AF529" s="143"/>
      <c r="AG529" s="143"/>
      <c r="AH529" s="143"/>
      <c r="AI529" s="143"/>
      <c r="AJ529" s="143"/>
      <c r="AK529" s="143"/>
      <c r="AL529" s="143"/>
      <c r="AM529" s="143"/>
      <c r="AN529" s="143"/>
      <c r="AO529" s="143"/>
      <c r="AP529" s="143"/>
      <c r="AQ529" s="143"/>
    </row>
    <row r="530" spans="1:43" ht="14.25" customHeight="1">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c r="AA530" s="143"/>
      <c r="AB530" s="143"/>
      <c r="AC530" s="143"/>
      <c r="AD530" s="143"/>
      <c r="AE530" s="143"/>
      <c r="AF530" s="143"/>
      <c r="AG530" s="143"/>
      <c r="AH530" s="143"/>
      <c r="AI530" s="143"/>
      <c r="AJ530" s="143"/>
      <c r="AK530" s="143"/>
      <c r="AL530" s="143"/>
      <c r="AM530" s="143"/>
      <c r="AN530" s="143"/>
      <c r="AO530" s="143"/>
      <c r="AP530" s="143"/>
      <c r="AQ530" s="143"/>
    </row>
    <row r="531" spans="1:43" ht="14.25" customHeight="1">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c r="AA531" s="143"/>
      <c r="AB531" s="143"/>
      <c r="AC531" s="143"/>
      <c r="AD531" s="143"/>
      <c r="AE531" s="143"/>
      <c r="AF531" s="143"/>
      <c r="AG531" s="143"/>
      <c r="AH531" s="143"/>
      <c r="AI531" s="143"/>
      <c r="AJ531" s="143"/>
      <c r="AK531" s="143"/>
      <c r="AL531" s="143"/>
      <c r="AM531" s="143"/>
      <c r="AN531" s="143"/>
      <c r="AO531" s="143"/>
      <c r="AP531" s="143"/>
      <c r="AQ531" s="143"/>
    </row>
    <row r="532" spans="1:43" ht="14.25" customHeight="1">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c r="AH532" s="143"/>
      <c r="AI532" s="143"/>
      <c r="AJ532" s="143"/>
      <c r="AK532" s="143"/>
      <c r="AL532" s="143"/>
      <c r="AM532" s="143"/>
      <c r="AN532" s="143"/>
      <c r="AO532" s="143"/>
      <c r="AP532" s="143"/>
      <c r="AQ532" s="143"/>
    </row>
    <row r="533" spans="1:43" ht="14.25" customHeight="1">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c r="AH533" s="143"/>
      <c r="AI533" s="143"/>
      <c r="AJ533" s="143"/>
      <c r="AK533" s="143"/>
      <c r="AL533" s="143"/>
      <c r="AM533" s="143"/>
      <c r="AN533" s="143"/>
      <c r="AO533" s="143"/>
      <c r="AP533" s="143"/>
      <c r="AQ533" s="143"/>
    </row>
    <row r="534" spans="1:43" ht="14.25" customHeight="1">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c r="AH534" s="143"/>
      <c r="AI534" s="143"/>
      <c r="AJ534" s="143"/>
      <c r="AK534" s="143"/>
      <c r="AL534" s="143"/>
      <c r="AM534" s="143"/>
      <c r="AN534" s="143"/>
      <c r="AO534" s="143"/>
      <c r="AP534" s="143"/>
      <c r="AQ534" s="143"/>
    </row>
    <row r="535" spans="1:43" ht="14.25" customHeight="1">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row>
    <row r="536" spans="1:43" ht="14.25" customHeight="1">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row>
    <row r="537" spans="1:43" ht="14.25" customHeight="1">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row>
    <row r="538" spans="1:43" ht="14.25" customHeight="1">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c r="AP538" s="143"/>
      <c r="AQ538" s="143"/>
    </row>
    <row r="539" spans="1:43" ht="14.25" customHeight="1">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3"/>
      <c r="AL539" s="143"/>
      <c r="AM539" s="143"/>
      <c r="AN539" s="143"/>
      <c r="AO539" s="143"/>
      <c r="AP539" s="143"/>
      <c r="AQ539" s="143"/>
    </row>
    <row r="540" spans="1:43" ht="14.25" customHeight="1">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3"/>
      <c r="AL540" s="143"/>
      <c r="AM540" s="143"/>
      <c r="AN540" s="143"/>
      <c r="AO540" s="143"/>
      <c r="AP540" s="143"/>
      <c r="AQ540" s="143"/>
    </row>
    <row r="541" spans="1:43" ht="14.25" customHeight="1">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3"/>
      <c r="AL541" s="143"/>
      <c r="AM541" s="143"/>
      <c r="AN541" s="143"/>
      <c r="AO541" s="143"/>
      <c r="AP541" s="143"/>
      <c r="AQ541" s="143"/>
    </row>
    <row r="542" spans="1:43" ht="14.25" customHeight="1">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3"/>
      <c r="AL542" s="143"/>
      <c r="AM542" s="143"/>
      <c r="AN542" s="143"/>
      <c r="AO542" s="143"/>
      <c r="AP542" s="143"/>
      <c r="AQ542" s="143"/>
    </row>
    <row r="543" spans="1:43" ht="14.25" customHeight="1">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row>
    <row r="544" spans="1:43" ht="14.25" customHeight="1">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3"/>
      <c r="AL544" s="143"/>
      <c r="AM544" s="143"/>
      <c r="AN544" s="143"/>
      <c r="AO544" s="143"/>
      <c r="AP544" s="143"/>
      <c r="AQ544" s="143"/>
    </row>
    <row r="545" spans="1:43" ht="14.25" customHeight="1">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c r="AH545" s="143"/>
      <c r="AI545" s="143"/>
      <c r="AJ545" s="143"/>
      <c r="AK545" s="143"/>
      <c r="AL545" s="143"/>
      <c r="AM545" s="143"/>
      <c r="AN545" s="143"/>
      <c r="AO545" s="143"/>
      <c r="AP545" s="143"/>
      <c r="AQ545" s="143"/>
    </row>
    <row r="546" spans="1:43" ht="14.25" customHeight="1">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c r="AH546" s="143"/>
      <c r="AI546" s="143"/>
      <c r="AJ546" s="143"/>
      <c r="AK546" s="143"/>
      <c r="AL546" s="143"/>
      <c r="AM546" s="143"/>
      <c r="AN546" s="143"/>
      <c r="AO546" s="143"/>
      <c r="AP546" s="143"/>
      <c r="AQ546" s="143"/>
    </row>
    <row r="547" spans="1:43" ht="14.25" customHeight="1">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c r="AH547" s="143"/>
      <c r="AI547" s="143"/>
      <c r="AJ547" s="143"/>
      <c r="AK547" s="143"/>
      <c r="AL547" s="143"/>
      <c r="AM547" s="143"/>
      <c r="AN547" s="143"/>
      <c r="AO547" s="143"/>
      <c r="AP547" s="143"/>
      <c r="AQ547" s="143"/>
    </row>
    <row r="548" spans="1:43" ht="14.25" customHeight="1">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c r="AH548" s="143"/>
      <c r="AI548" s="143"/>
      <c r="AJ548" s="143"/>
      <c r="AK548" s="143"/>
      <c r="AL548" s="143"/>
      <c r="AM548" s="143"/>
      <c r="AN548" s="143"/>
      <c r="AO548" s="143"/>
      <c r="AP548" s="143"/>
      <c r="AQ548" s="143"/>
    </row>
    <row r="549" spans="1:43" ht="14.25" customHeight="1">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c r="AH549" s="143"/>
      <c r="AI549" s="143"/>
      <c r="AJ549" s="143"/>
      <c r="AK549" s="143"/>
      <c r="AL549" s="143"/>
      <c r="AM549" s="143"/>
      <c r="AN549" s="143"/>
      <c r="AO549" s="143"/>
      <c r="AP549" s="143"/>
      <c r="AQ549" s="143"/>
    </row>
    <row r="550" spans="1:43" ht="14.25" customHeight="1">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c r="AH550" s="143"/>
      <c r="AI550" s="143"/>
      <c r="AJ550" s="143"/>
      <c r="AK550" s="143"/>
      <c r="AL550" s="143"/>
      <c r="AM550" s="143"/>
      <c r="AN550" s="143"/>
      <c r="AO550" s="143"/>
      <c r="AP550" s="143"/>
      <c r="AQ550" s="143"/>
    </row>
    <row r="551" spans="1:43" ht="14.25" customHeight="1">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c r="AH551" s="143"/>
      <c r="AI551" s="143"/>
      <c r="AJ551" s="143"/>
      <c r="AK551" s="143"/>
      <c r="AL551" s="143"/>
      <c r="AM551" s="143"/>
      <c r="AN551" s="143"/>
      <c r="AO551" s="143"/>
      <c r="AP551" s="143"/>
      <c r="AQ551" s="143"/>
    </row>
    <row r="552" spans="1:43" ht="14.25" customHeight="1">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c r="AH552" s="143"/>
      <c r="AI552" s="143"/>
      <c r="AJ552" s="143"/>
      <c r="AK552" s="143"/>
      <c r="AL552" s="143"/>
      <c r="AM552" s="143"/>
      <c r="AN552" s="143"/>
      <c r="AO552" s="143"/>
      <c r="AP552" s="143"/>
      <c r="AQ552" s="143"/>
    </row>
    <row r="553" spans="1:43" ht="14.25" customHeight="1">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3"/>
      <c r="AL553" s="143"/>
      <c r="AM553" s="143"/>
      <c r="AN553" s="143"/>
      <c r="AO553" s="143"/>
      <c r="AP553" s="143"/>
      <c r="AQ553" s="143"/>
    </row>
    <row r="554" spans="1:43" ht="14.25" customHeight="1">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c r="AH554" s="143"/>
      <c r="AI554" s="143"/>
      <c r="AJ554" s="143"/>
      <c r="AK554" s="143"/>
      <c r="AL554" s="143"/>
      <c r="AM554" s="143"/>
      <c r="AN554" s="143"/>
      <c r="AO554" s="143"/>
      <c r="AP554" s="143"/>
      <c r="AQ554" s="143"/>
    </row>
    <row r="555" spans="1:43" ht="14.25" customHeight="1">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c r="AH555" s="143"/>
      <c r="AI555" s="143"/>
      <c r="AJ555" s="143"/>
      <c r="AK555" s="143"/>
      <c r="AL555" s="143"/>
      <c r="AM555" s="143"/>
      <c r="AN555" s="143"/>
      <c r="AO555" s="143"/>
      <c r="AP555" s="143"/>
      <c r="AQ555" s="143"/>
    </row>
    <row r="556" spans="1:43" ht="14.25" customHeight="1">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c r="AH556" s="143"/>
      <c r="AI556" s="143"/>
      <c r="AJ556" s="143"/>
      <c r="AK556" s="143"/>
      <c r="AL556" s="143"/>
      <c r="AM556" s="143"/>
      <c r="AN556" s="143"/>
      <c r="AO556" s="143"/>
      <c r="AP556" s="143"/>
      <c r="AQ556" s="143"/>
    </row>
    <row r="557" spans="1:43" ht="14.25" customHeight="1">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c r="AH557" s="143"/>
      <c r="AI557" s="143"/>
      <c r="AJ557" s="143"/>
      <c r="AK557" s="143"/>
      <c r="AL557" s="143"/>
      <c r="AM557" s="143"/>
      <c r="AN557" s="143"/>
      <c r="AO557" s="143"/>
      <c r="AP557" s="143"/>
      <c r="AQ557" s="143"/>
    </row>
    <row r="558" spans="1:43" ht="14.25" customHeight="1">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c r="AH558" s="143"/>
      <c r="AI558" s="143"/>
      <c r="AJ558" s="143"/>
      <c r="AK558" s="143"/>
      <c r="AL558" s="143"/>
      <c r="AM558" s="143"/>
      <c r="AN558" s="143"/>
      <c r="AO558" s="143"/>
      <c r="AP558" s="143"/>
      <c r="AQ558" s="143"/>
    </row>
    <row r="559" spans="1:43" ht="14.25" customHeight="1">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c r="AH559" s="143"/>
      <c r="AI559" s="143"/>
      <c r="AJ559" s="143"/>
      <c r="AK559" s="143"/>
      <c r="AL559" s="143"/>
      <c r="AM559" s="143"/>
      <c r="AN559" s="143"/>
      <c r="AO559" s="143"/>
      <c r="AP559" s="143"/>
      <c r="AQ559" s="143"/>
    </row>
    <row r="560" spans="1:43" ht="14.25" customHeight="1">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c r="AH560" s="143"/>
      <c r="AI560" s="143"/>
      <c r="AJ560" s="143"/>
      <c r="AK560" s="143"/>
      <c r="AL560" s="143"/>
      <c r="AM560" s="143"/>
      <c r="AN560" s="143"/>
      <c r="AO560" s="143"/>
      <c r="AP560" s="143"/>
      <c r="AQ560" s="143"/>
    </row>
    <row r="561" spans="1:43" ht="14.25" customHeight="1">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c r="AH561" s="143"/>
      <c r="AI561" s="143"/>
      <c r="AJ561" s="143"/>
      <c r="AK561" s="143"/>
      <c r="AL561" s="143"/>
      <c r="AM561" s="143"/>
      <c r="AN561" s="143"/>
      <c r="AO561" s="143"/>
      <c r="AP561" s="143"/>
      <c r="AQ561" s="143"/>
    </row>
    <row r="562" spans="1:43" ht="14.25" customHeight="1">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c r="AA562" s="143"/>
      <c r="AB562" s="143"/>
      <c r="AC562" s="143"/>
      <c r="AD562" s="143"/>
      <c r="AE562" s="143"/>
      <c r="AF562" s="143"/>
      <c r="AG562" s="143"/>
      <c r="AH562" s="143"/>
      <c r="AI562" s="143"/>
      <c r="AJ562" s="143"/>
      <c r="AK562" s="143"/>
      <c r="AL562" s="143"/>
      <c r="AM562" s="143"/>
      <c r="AN562" s="143"/>
      <c r="AO562" s="143"/>
      <c r="AP562" s="143"/>
      <c r="AQ562" s="143"/>
    </row>
    <row r="563" spans="1:43" ht="14.25" customHeight="1">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c r="AA563" s="143"/>
      <c r="AB563" s="143"/>
      <c r="AC563" s="143"/>
      <c r="AD563" s="143"/>
      <c r="AE563" s="143"/>
      <c r="AF563" s="143"/>
      <c r="AG563" s="143"/>
      <c r="AH563" s="143"/>
      <c r="AI563" s="143"/>
      <c r="AJ563" s="143"/>
      <c r="AK563" s="143"/>
      <c r="AL563" s="143"/>
      <c r="AM563" s="143"/>
      <c r="AN563" s="143"/>
      <c r="AO563" s="143"/>
      <c r="AP563" s="143"/>
      <c r="AQ563" s="143"/>
    </row>
    <row r="564" spans="1:43" ht="14.25" customHeight="1">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c r="AQ564" s="143"/>
    </row>
    <row r="565" spans="1:43" ht="14.25" customHeight="1">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c r="AH565" s="143"/>
      <c r="AI565" s="143"/>
      <c r="AJ565" s="143"/>
      <c r="AK565" s="143"/>
      <c r="AL565" s="143"/>
      <c r="AM565" s="143"/>
      <c r="AN565" s="143"/>
      <c r="AO565" s="143"/>
      <c r="AP565" s="143"/>
      <c r="AQ565" s="143"/>
    </row>
    <row r="566" spans="1:43" ht="14.25" customHeight="1">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3"/>
      <c r="AL566" s="143"/>
      <c r="AM566" s="143"/>
      <c r="AN566" s="143"/>
      <c r="AO566" s="143"/>
      <c r="AP566" s="143"/>
      <c r="AQ566" s="143"/>
    </row>
    <row r="567" spans="1:43" ht="14.25" customHeight="1">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3"/>
      <c r="AQ567" s="143"/>
    </row>
    <row r="568" spans="1:43" ht="14.25" customHeight="1">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3"/>
      <c r="AL568" s="143"/>
      <c r="AM568" s="143"/>
      <c r="AN568" s="143"/>
      <c r="AO568" s="143"/>
      <c r="AP568" s="143"/>
      <c r="AQ568" s="143"/>
    </row>
    <row r="569" spans="1:43" ht="14.25" customHeight="1">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c r="AH569" s="143"/>
      <c r="AI569" s="143"/>
      <c r="AJ569" s="143"/>
      <c r="AK569" s="143"/>
      <c r="AL569" s="143"/>
      <c r="AM569" s="143"/>
      <c r="AN569" s="143"/>
      <c r="AO569" s="143"/>
      <c r="AP569" s="143"/>
      <c r="AQ569" s="143"/>
    </row>
    <row r="570" spans="1:43" ht="14.25" customHeight="1">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row>
    <row r="571" spans="1:43" ht="14.25" customHeight="1">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row>
    <row r="572" spans="1:43" ht="14.25" customHeight="1">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row>
    <row r="573" spans="1:43" ht="14.25" customHeight="1">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row>
    <row r="574" spans="1:43" ht="14.25" customHeight="1">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143"/>
      <c r="AN574" s="143"/>
      <c r="AO574" s="143"/>
      <c r="AP574" s="143"/>
      <c r="AQ574" s="143"/>
    </row>
    <row r="575" spans="1:43" ht="14.25" customHeight="1">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3"/>
      <c r="AL575" s="143"/>
      <c r="AM575" s="143"/>
      <c r="AN575" s="143"/>
      <c r="AO575" s="143"/>
      <c r="AP575" s="143"/>
      <c r="AQ575" s="143"/>
    </row>
    <row r="576" spans="1:43" ht="14.25" customHeight="1">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3"/>
      <c r="AL576" s="143"/>
      <c r="AM576" s="143"/>
      <c r="AN576" s="143"/>
      <c r="AO576" s="143"/>
      <c r="AP576" s="143"/>
      <c r="AQ576" s="143"/>
    </row>
    <row r="577" spans="1:43" ht="14.25" customHeight="1">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3"/>
      <c r="AL577" s="143"/>
      <c r="AM577" s="143"/>
      <c r="AN577" s="143"/>
      <c r="AO577" s="143"/>
      <c r="AP577" s="143"/>
      <c r="AQ577" s="143"/>
    </row>
    <row r="578" spans="1:43" ht="14.25" customHeight="1">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c r="AH578" s="143"/>
      <c r="AI578" s="143"/>
      <c r="AJ578" s="143"/>
      <c r="AK578" s="143"/>
      <c r="AL578" s="143"/>
      <c r="AM578" s="143"/>
      <c r="AN578" s="143"/>
      <c r="AO578" s="143"/>
      <c r="AP578" s="143"/>
      <c r="AQ578" s="143"/>
    </row>
    <row r="579" spans="1:43" ht="14.25" customHeight="1">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3"/>
      <c r="AL579" s="143"/>
      <c r="AM579" s="143"/>
      <c r="AN579" s="143"/>
      <c r="AO579" s="143"/>
      <c r="AP579" s="143"/>
      <c r="AQ579" s="143"/>
    </row>
    <row r="580" spans="1:43" ht="14.25" customHeight="1">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c r="AQ580" s="143"/>
    </row>
    <row r="581" spans="1:43" ht="14.25" customHeight="1">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c r="AH581" s="143"/>
      <c r="AI581" s="143"/>
      <c r="AJ581" s="143"/>
      <c r="AK581" s="143"/>
      <c r="AL581" s="143"/>
      <c r="AM581" s="143"/>
      <c r="AN581" s="143"/>
      <c r="AO581" s="143"/>
      <c r="AP581" s="143"/>
      <c r="AQ581" s="143"/>
    </row>
    <row r="582" spans="1:43" ht="14.25" customHeight="1">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c r="AH582" s="143"/>
      <c r="AI582" s="143"/>
      <c r="AJ582" s="143"/>
      <c r="AK582" s="143"/>
      <c r="AL582" s="143"/>
      <c r="AM582" s="143"/>
      <c r="AN582" s="143"/>
      <c r="AO582" s="143"/>
      <c r="AP582" s="143"/>
      <c r="AQ582" s="143"/>
    </row>
    <row r="583" spans="1:43" ht="14.25" customHeight="1">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c r="AQ583" s="143"/>
    </row>
    <row r="584" spans="1:43" ht="14.25" customHeight="1">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c r="AH584" s="143"/>
      <c r="AI584" s="143"/>
      <c r="AJ584" s="143"/>
      <c r="AK584" s="143"/>
      <c r="AL584" s="143"/>
      <c r="AM584" s="143"/>
      <c r="AN584" s="143"/>
      <c r="AO584" s="143"/>
      <c r="AP584" s="143"/>
      <c r="AQ584" s="143"/>
    </row>
    <row r="585" spans="1:43" ht="14.25" customHeight="1">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c r="AH585" s="143"/>
      <c r="AI585" s="143"/>
      <c r="AJ585" s="143"/>
      <c r="AK585" s="143"/>
      <c r="AL585" s="143"/>
      <c r="AM585" s="143"/>
      <c r="AN585" s="143"/>
      <c r="AO585" s="143"/>
      <c r="AP585" s="143"/>
      <c r="AQ585" s="143"/>
    </row>
    <row r="586" spans="1:43" ht="14.25" customHeight="1">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c r="AH586" s="143"/>
      <c r="AI586" s="143"/>
      <c r="AJ586" s="143"/>
      <c r="AK586" s="143"/>
      <c r="AL586" s="143"/>
      <c r="AM586" s="143"/>
      <c r="AN586" s="143"/>
      <c r="AO586" s="143"/>
      <c r="AP586" s="143"/>
      <c r="AQ586" s="143"/>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38" orientation="portrait" horizontalDpi="4294967293" verticalDpi="4294967293"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BY180"/>
  <sheetViews>
    <sheetView view="pageBreakPreview" zoomScaleNormal="100" zoomScaleSheetLayoutView="100" workbookViewId="0">
      <pane xSplit="1" topLeftCell="AJ1" activePane="topRight" state="frozen"/>
      <selection pane="topRight" activeCell="AT7" sqref="AT7"/>
    </sheetView>
  </sheetViews>
  <sheetFormatPr defaultColWidth="8.7109375" defaultRowHeight="13.5" customHeight="1" outlineLevelCol="1"/>
  <cols>
    <col min="1" max="2" width="45.7109375" style="36" customWidth="1"/>
    <col min="3" max="3" width="8" style="36" hidden="1" customWidth="1"/>
    <col min="4" max="25" width="12.7109375" style="11" hidden="1" customWidth="1" outlineLevel="1"/>
    <col min="26" max="29" width="12.7109375" style="10" hidden="1" customWidth="1" outlineLevel="1"/>
    <col min="30" max="30" width="12.7109375" style="5" hidden="1" customWidth="1" outlineLevel="1"/>
    <col min="31" max="31" width="12.7109375" style="10" hidden="1" customWidth="1" outlineLevel="1"/>
    <col min="32" max="33" width="12.7109375" style="51" hidden="1" customWidth="1" outlineLevel="1"/>
    <col min="34" max="35" width="12.7109375" style="7" hidden="1" customWidth="1" outlineLevel="1"/>
    <col min="36" max="36" width="12.7109375" style="7" customWidth="1" collapsed="1"/>
    <col min="37" max="43" width="12.7109375" style="7" customWidth="1"/>
    <col min="44" max="77" width="8.7109375" style="145"/>
    <col min="78" max="16384" width="8.7109375" style="5"/>
  </cols>
  <sheetData>
    <row r="1" spans="1:77" ht="20.100000000000001" customHeight="1">
      <c r="A1" s="389" t="s">
        <v>0</v>
      </c>
      <c r="B1" s="389" t="s">
        <v>165</v>
      </c>
      <c r="C1" s="389"/>
      <c r="D1" s="10"/>
      <c r="E1" s="10"/>
      <c r="F1" s="10"/>
      <c r="G1" s="10"/>
      <c r="H1" s="10"/>
      <c r="I1" s="10"/>
      <c r="J1" s="10"/>
      <c r="K1" s="10"/>
      <c r="L1" s="10"/>
      <c r="M1" s="10"/>
      <c r="N1" s="10"/>
      <c r="O1" s="10"/>
      <c r="P1" s="390"/>
      <c r="Q1" s="390"/>
      <c r="R1" s="390"/>
      <c r="S1" s="390"/>
      <c r="T1" s="390"/>
      <c r="U1" s="390"/>
      <c r="V1" s="390"/>
      <c r="W1" s="391"/>
      <c r="X1" s="391"/>
      <c r="Y1" s="10"/>
      <c r="AQ1" s="392" t="s">
        <v>800</v>
      </c>
    </row>
    <row r="2" spans="1:77" s="24" customFormat="1">
      <c r="A2" s="393"/>
      <c r="B2" s="393"/>
      <c r="C2" s="393"/>
      <c r="D2" s="51"/>
      <c r="E2" s="51"/>
      <c r="F2" s="51"/>
      <c r="G2" s="51"/>
      <c r="H2" s="51"/>
      <c r="I2" s="51"/>
      <c r="J2" s="51"/>
      <c r="K2" s="51"/>
      <c r="L2" s="51"/>
      <c r="M2" s="51"/>
      <c r="N2" s="51"/>
      <c r="O2" s="51"/>
      <c r="P2" s="390" t="s">
        <v>108</v>
      </c>
      <c r="Q2" s="390" t="s">
        <v>108</v>
      </c>
      <c r="R2" s="390" t="s">
        <v>108</v>
      </c>
      <c r="S2" s="390" t="s">
        <v>108</v>
      </c>
      <c r="T2" s="390" t="s">
        <v>108</v>
      </c>
      <c r="U2" s="390" t="s">
        <v>108</v>
      </c>
      <c r="V2" s="390" t="s">
        <v>108</v>
      </c>
      <c r="W2" s="51"/>
      <c r="X2" s="51"/>
      <c r="Y2" s="51"/>
      <c r="Z2" s="51"/>
      <c r="AA2" s="51"/>
      <c r="AB2" s="51"/>
      <c r="AC2" s="51"/>
      <c r="AD2" s="51"/>
      <c r="AE2" s="51"/>
      <c r="AF2" s="51"/>
      <c r="AG2" s="51"/>
      <c r="AH2" s="51"/>
      <c r="AI2" s="51"/>
      <c r="AJ2" s="51"/>
      <c r="AK2" s="51"/>
      <c r="AL2" s="51"/>
      <c r="AM2" s="51"/>
      <c r="AN2" s="51"/>
      <c r="AO2" s="51"/>
      <c r="AP2" s="51"/>
      <c r="AQ2" s="392" t="s">
        <v>801</v>
      </c>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row>
    <row r="3" spans="1:77" s="24" customFormat="1" ht="14.25" thickBot="1">
      <c r="A3" s="393"/>
      <c r="B3" s="393"/>
      <c r="C3" s="393"/>
      <c r="D3" s="51"/>
      <c r="E3" s="51"/>
      <c r="F3" s="51"/>
      <c r="G3" s="51"/>
      <c r="H3" s="51"/>
      <c r="I3" s="51"/>
      <c r="J3" s="51"/>
      <c r="K3" s="51"/>
      <c r="L3" s="51"/>
      <c r="M3" s="51"/>
      <c r="N3" s="51"/>
      <c r="O3" s="51"/>
      <c r="P3" s="390" t="s">
        <v>109</v>
      </c>
      <c r="Q3" s="390" t="s">
        <v>109</v>
      </c>
      <c r="R3" s="390" t="s">
        <v>109</v>
      </c>
      <c r="S3" s="390" t="s">
        <v>109</v>
      </c>
      <c r="T3" s="390" t="s">
        <v>109</v>
      </c>
      <c r="U3" s="390" t="s">
        <v>109</v>
      </c>
      <c r="V3" s="390" t="s">
        <v>109</v>
      </c>
      <c r="W3" s="51"/>
      <c r="X3" s="51"/>
      <c r="Y3" s="51"/>
      <c r="Z3" s="51"/>
      <c r="AA3" s="51"/>
      <c r="AB3" s="51"/>
      <c r="AC3" s="51"/>
      <c r="AD3" s="51"/>
      <c r="AE3" s="51"/>
      <c r="AF3" s="51"/>
      <c r="AG3" s="51"/>
      <c r="AH3" s="51"/>
      <c r="AI3" s="51"/>
      <c r="AJ3" s="51"/>
      <c r="AK3" s="51"/>
      <c r="AL3" s="51"/>
      <c r="AM3" s="51"/>
      <c r="AN3" s="51"/>
      <c r="AO3" s="51"/>
      <c r="AP3" s="51"/>
      <c r="AQ3" s="392"/>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row>
    <row r="4" spans="1:77" s="23" customFormat="1" ht="22.5" customHeight="1" thickBot="1">
      <c r="A4" s="343" t="s">
        <v>391</v>
      </c>
      <c r="B4" s="305" t="s">
        <v>180</v>
      </c>
      <c r="C4" s="305"/>
      <c r="D4" s="305" t="s">
        <v>24</v>
      </c>
      <c r="E4" s="305" t="s">
        <v>25</v>
      </c>
      <c r="F4" s="305" t="s">
        <v>26</v>
      </c>
      <c r="G4" s="305" t="s">
        <v>27</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305" t="s">
        <v>43</v>
      </c>
      <c r="X4" s="305" t="s">
        <v>110</v>
      </c>
      <c r="Y4" s="305" t="s">
        <v>111</v>
      </c>
      <c r="Z4" s="305" t="s">
        <v>113</v>
      </c>
      <c r="AA4" s="305" t="s">
        <v>120</v>
      </c>
      <c r="AB4" s="305" t="s">
        <v>114</v>
      </c>
      <c r="AC4" s="305" t="s">
        <v>116</v>
      </c>
      <c r="AD4" s="305" t="s">
        <v>117</v>
      </c>
      <c r="AE4" s="305" t="s">
        <v>119</v>
      </c>
      <c r="AF4" s="306" t="s">
        <v>121</v>
      </c>
      <c r="AG4" s="306" t="s">
        <v>123</v>
      </c>
      <c r="AH4" s="306" t="s">
        <v>124</v>
      </c>
      <c r="AI4" s="306" t="s">
        <v>125</v>
      </c>
      <c r="AJ4" s="306" t="s">
        <v>127</v>
      </c>
      <c r="AK4" s="306" t="s">
        <v>128</v>
      </c>
      <c r="AL4" s="306" t="s">
        <v>129</v>
      </c>
      <c r="AM4" s="306" t="s">
        <v>130</v>
      </c>
      <c r="AN4" s="306" t="s">
        <v>131</v>
      </c>
      <c r="AO4" s="306" t="s">
        <v>223</v>
      </c>
      <c r="AP4" s="306" t="s">
        <v>224</v>
      </c>
      <c r="AQ4" s="344" t="s">
        <v>511</v>
      </c>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row>
    <row r="5" spans="1:77">
      <c r="A5" s="444" t="s">
        <v>1</v>
      </c>
      <c r="B5" s="445" t="s">
        <v>141</v>
      </c>
      <c r="C5" s="445"/>
      <c r="D5" s="446">
        <v>2236.2310000000002</v>
      </c>
      <c r="E5" s="446">
        <v>2096.384</v>
      </c>
      <c r="F5" s="446">
        <v>2291.4749999999999</v>
      </c>
      <c r="G5" s="446">
        <v>2407.2399999999998</v>
      </c>
      <c r="H5" s="446">
        <v>2479.2040000000002</v>
      </c>
      <c r="I5" s="446">
        <v>2553.9720000000002</v>
      </c>
      <c r="J5" s="446">
        <v>2671.3620000000001</v>
      </c>
      <c r="K5" s="446">
        <v>2710.777</v>
      </c>
      <c r="L5" s="446">
        <v>2720.4319999999998</v>
      </c>
      <c r="M5" s="446">
        <v>2881.8820000000001</v>
      </c>
      <c r="N5" s="446">
        <v>3149.3670000000002</v>
      </c>
      <c r="O5" s="446">
        <v>3286.0810000000001</v>
      </c>
      <c r="P5" s="447">
        <v>3311.5</v>
      </c>
      <c r="Q5" s="447">
        <v>3292</v>
      </c>
      <c r="R5" s="447">
        <v>3343.2</v>
      </c>
      <c r="S5" s="447">
        <v>3251.5</v>
      </c>
      <c r="T5" s="446">
        <v>2946.4940000000001</v>
      </c>
      <c r="U5" s="446">
        <v>2753.547</v>
      </c>
      <c r="V5" s="446">
        <v>2550.7510000000002</v>
      </c>
      <c r="W5" s="446">
        <v>2512.7020000000002</v>
      </c>
      <c r="X5" s="446">
        <v>2466.8339999999998</v>
      </c>
      <c r="Y5" s="446">
        <v>2777.8049999999998</v>
      </c>
      <c r="Z5" s="446">
        <v>2834.33</v>
      </c>
      <c r="AA5" s="446">
        <v>2658.462</v>
      </c>
      <c r="AB5" s="446">
        <v>2432.587</v>
      </c>
      <c r="AC5" s="446">
        <v>2355.5450000000001</v>
      </c>
      <c r="AD5" s="446">
        <v>2433.4969999999998</v>
      </c>
      <c r="AE5" s="446">
        <v>2436.134</v>
      </c>
      <c r="AF5" s="446">
        <v>2391.5680000000002</v>
      </c>
      <c r="AG5" s="446">
        <v>2460.971</v>
      </c>
      <c r="AH5" s="446">
        <v>2517.701</v>
      </c>
      <c r="AI5" s="447">
        <v>2594.1599999999989</v>
      </c>
      <c r="AJ5" s="446">
        <v>2620</v>
      </c>
      <c r="AK5" s="448">
        <v>2693</v>
      </c>
      <c r="AL5" s="448">
        <v>2781</v>
      </c>
      <c r="AM5" s="448">
        <v>2825</v>
      </c>
      <c r="AN5" s="1262">
        <v>2748</v>
      </c>
      <c r="AO5" s="1236">
        <v>2837</v>
      </c>
      <c r="AP5" s="1236">
        <v>2933</v>
      </c>
      <c r="AQ5" s="1262">
        <v>3076</v>
      </c>
    </row>
    <row r="6" spans="1:77">
      <c r="A6" s="410" t="s">
        <v>2</v>
      </c>
      <c r="B6" s="349" t="s">
        <v>142</v>
      </c>
      <c r="C6" s="349"/>
      <c r="D6" s="411">
        <v>-1043.086</v>
      </c>
      <c r="E6" s="411">
        <v>-987.90200000000004</v>
      </c>
      <c r="F6" s="411">
        <v>-959.15499999999997</v>
      </c>
      <c r="G6" s="411">
        <v>-990.005</v>
      </c>
      <c r="H6" s="411">
        <v>-1004.705</v>
      </c>
      <c r="I6" s="411">
        <v>-962.29200000000003</v>
      </c>
      <c r="J6" s="411">
        <v>-952.20500000000004</v>
      </c>
      <c r="K6" s="411">
        <v>-979.947</v>
      </c>
      <c r="L6" s="411">
        <v>-1000.963</v>
      </c>
      <c r="M6" s="411">
        <v>-1026.8050000000001</v>
      </c>
      <c r="N6" s="411">
        <v>-1185.232</v>
      </c>
      <c r="O6" s="411">
        <v>-1215.646</v>
      </c>
      <c r="P6" s="412">
        <v>-1198.2</v>
      </c>
      <c r="Q6" s="412">
        <v>-1246.9000000000001</v>
      </c>
      <c r="R6" s="412">
        <v>-1319.576</v>
      </c>
      <c r="S6" s="412">
        <v>-1344</v>
      </c>
      <c r="T6" s="411">
        <v>-1193.8430000000001</v>
      </c>
      <c r="U6" s="411">
        <v>-1125.6969999999999</v>
      </c>
      <c r="V6" s="411">
        <v>-923.81899999999996</v>
      </c>
      <c r="W6" s="411">
        <v>-798.173</v>
      </c>
      <c r="X6" s="411">
        <v>-727.00599999999997</v>
      </c>
      <c r="Y6" s="411">
        <v>-838.77099999999996</v>
      </c>
      <c r="Z6" s="411">
        <v>-855.61500000000001</v>
      </c>
      <c r="AA6" s="411">
        <v>-793.10799999999995</v>
      </c>
      <c r="AB6" s="411">
        <v>-761.84900000000005</v>
      </c>
      <c r="AC6" s="411">
        <v>-672.18299999999999</v>
      </c>
      <c r="AD6" s="411">
        <v>-615.39800000000002</v>
      </c>
      <c r="AE6" s="411">
        <v>-579.73800000000006</v>
      </c>
      <c r="AF6" s="411">
        <v>-538.37300000000005</v>
      </c>
      <c r="AG6" s="411">
        <v>-551.65499999999997</v>
      </c>
      <c r="AH6" s="411">
        <v>-546.22299999999996</v>
      </c>
      <c r="AI6" s="412">
        <v>-573.34899999999948</v>
      </c>
      <c r="AJ6" s="411">
        <v>-574</v>
      </c>
      <c r="AK6" s="413">
        <v>-579</v>
      </c>
      <c r="AL6" s="413">
        <v>-584</v>
      </c>
      <c r="AM6" s="413">
        <v>-576</v>
      </c>
      <c r="AN6" s="1234">
        <v>-532</v>
      </c>
      <c r="AO6" s="1234">
        <v>-546</v>
      </c>
      <c r="AP6" s="1234">
        <v>-567</v>
      </c>
      <c r="AQ6" s="1256">
        <v>-596</v>
      </c>
    </row>
    <row r="7" spans="1:77" s="8" customFormat="1">
      <c r="A7" s="415" t="s">
        <v>3</v>
      </c>
      <c r="B7" s="416" t="s">
        <v>143</v>
      </c>
      <c r="C7" s="416"/>
      <c r="D7" s="417">
        <v>1193.145</v>
      </c>
      <c r="E7" s="417">
        <v>1108.482</v>
      </c>
      <c r="F7" s="417">
        <v>1332.32</v>
      </c>
      <c r="G7" s="417">
        <v>1417.2349999999999</v>
      </c>
      <c r="H7" s="417">
        <v>1474.499</v>
      </c>
      <c r="I7" s="417">
        <v>1591.68</v>
      </c>
      <c r="J7" s="417">
        <v>1719.1569999999999</v>
      </c>
      <c r="K7" s="417">
        <v>1730.83</v>
      </c>
      <c r="L7" s="417">
        <v>1719.4690000000001</v>
      </c>
      <c r="M7" s="417">
        <v>1855.077</v>
      </c>
      <c r="N7" s="417">
        <v>1964.135</v>
      </c>
      <c r="O7" s="417">
        <v>2070.4349999999999</v>
      </c>
      <c r="P7" s="418">
        <f t="shared" ref="P7:R7" si="0">P5+P6</f>
        <v>2113.3000000000002</v>
      </c>
      <c r="Q7" s="418">
        <f t="shared" si="0"/>
        <v>2045.1</v>
      </c>
      <c r="R7" s="418">
        <f t="shared" si="0"/>
        <v>2023.6239999999998</v>
      </c>
      <c r="S7" s="418">
        <f>S5+S6</f>
        <v>1907.5</v>
      </c>
      <c r="T7" s="417">
        <v>1752.6510000000001</v>
      </c>
      <c r="U7" s="417">
        <v>1627.8500000000001</v>
      </c>
      <c r="V7" s="417">
        <v>1626.932</v>
      </c>
      <c r="W7" s="417">
        <v>1714.529</v>
      </c>
      <c r="X7" s="417">
        <v>1739.828</v>
      </c>
      <c r="Y7" s="417">
        <v>1939.0340000000001</v>
      </c>
      <c r="Z7" s="417">
        <v>1978.7149999999999</v>
      </c>
      <c r="AA7" s="417">
        <v>1865.354</v>
      </c>
      <c r="AB7" s="417">
        <v>1670.7380000000001</v>
      </c>
      <c r="AC7" s="417">
        <v>1683.3620000000001</v>
      </c>
      <c r="AD7" s="417">
        <v>1818.0989999999999</v>
      </c>
      <c r="AE7" s="417">
        <v>1856.396</v>
      </c>
      <c r="AF7" s="417">
        <v>1853.1949999999999</v>
      </c>
      <c r="AG7" s="417">
        <v>1909.316</v>
      </c>
      <c r="AH7" s="417">
        <v>1971.4780000000001</v>
      </c>
      <c r="AI7" s="418">
        <v>2020.8110000000006</v>
      </c>
      <c r="AJ7" s="417">
        <v>2046</v>
      </c>
      <c r="AK7" s="419">
        <f>SUM(AK5:AK6)</f>
        <v>2114</v>
      </c>
      <c r="AL7" s="419">
        <v>2197</v>
      </c>
      <c r="AM7" s="419">
        <v>2249</v>
      </c>
      <c r="AN7" s="1257">
        <v>2216</v>
      </c>
      <c r="AO7" s="1235">
        <v>2291</v>
      </c>
      <c r="AP7" s="1235">
        <v>2366</v>
      </c>
      <c r="AQ7" s="1257">
        <v>2480</v>
      </c>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row>
    <row r="8" spans="1:77">
      <c r="A8" s="410" t="s">
        <v>4</v>
      </c>
      <c r="B8" s="349" t="s">
        <v>144</v>
      </c>
      <c r="C8" s="349"/>
      <c r="D8" s="411">
        <v>721.19899999999996</v>
      </c>
      <c r="E8" s="411">
        <v>804.46199999999999</v>
      </c>
      <c r="F8" s="411">
        <v>891.91899999999998</v>
      </c>
      <c r="G8" s="411">
        <v>917.76700000000005</v>
      </c>
      <c r="H8" s="411">
        <v>920.21199999999999</v>
      </c>
      <c r="I8" s="411">
        <v>990.54</v>
      </c>
      <c r="J8" s="411">
        <v>976.91300000000001</v>
      </c>
      <c r="K8" s="411">
        <v>993.19799999999998</v>
      </c>
      <c r="L8" s="411">
        <v>911.46799999999996</v>
      </c>
      <c r="M8" s="411">
        <v>988.38599999999997</v>
      </c>
      <c r="N8" s="411">
        <v>953.53</v>
      </c>
      <c r="O8" s="411">
        <v>983.78099999999995</v>
      </c>
      <c r="P8" s="421">
        <v>843.1</v>
      </c>
      <c r="Q8" s="412">
        <v>907.1</v>
      </c>
      <c r="R8" s="412">
        <v>912.9</v>
      </c>
      <c r="S8" s="412">
        <v>985</v>
      </c>
      <c r="T8" s="411">
        <v>921.68399999999997</v>
      </c>
      <c r="U8" s="411">
        <v>923</v>
      </c>
      <c r="V8" s="411">
        <v>995.96500000000003</v>
      </c>
      <c r="W8" s="411">
        <v>1085.8979999999999</v>
      </c>
      <c r="X8" s="411">
        <v>973.55600000000004</v>
      </c>
      <c r="Y8" s="411">
        <v>1041</v>
      </c>
      <c r="Z8" s="411">
        <v>984</v>
      </c>
      <c r="AA8" s="411">
        <v>903</v>
      </c>
      <c r="AB8" s="411">
        <v>867</v>
      </c>
      <c r="AC8" s="411">
        <v>938.78</v>
      </c>
      <c r="AD8" s="411">
        <v>904.34</v>
      </c>
      <c r="AE8" s="411">
        <v>888.63599999999997</v>
      </c>
      <c r="AF8" s="411">
        <v>843.70100000000002</v>
      </c>
      <c r="AG8" s="411">
        <v>911.06100000000004</v>
      </c>
      <c r="AH8" s="411">
        <v>897.40800000000002</v>
      </c>
      <c r="AI8" s="412">
        <v>927.42999999999972</v>
      </c>
      <c r="AJ8" s="411">
        <v>929</v>
      </c>
      <c r="AK8" s="413">
        <v>961</v>
      </c>
      <c r="AL8" s="413">
        <v>1018</v>
      </c>
      <c r="AM8" s="413">
        <v>1010</v>
      </c>
      <c r="AN8" s="411">
        <v>972</v>
      </c>
      <c r="AO8" s="411">
        <v>1010</v>
      </c>
      <c r="AP8" s="411">
        <v>1021</v>
      </c>
      <c r="AQ8" s="414">
        <v>1039</v>
      </c>
    </row>
    <row r="9" spans="1:77">
      <c r="A9" s="410" t="s">
        <v>5</v>
      </c>
      <c r="B9" s="349" t="s">
        <v>145</v>
      </c>
      <c r="C9" s="349"/>
      <c r="D9" s="411">
        <v>-171.309</v>
      </c>
      <c r="E9" s="411">
        <v>-182.565</v>
      </c>
      <c r="F9" s="411">
        <v>-190.61799999999999</v>
      </c>
      <c r="G9" s="411">
        <v>-207.852</v>
      </c>
      <c r="H9" s="411">
        <v>-194.79</v>
      </c>
      <c r="I9" s="411">
        <v>-188.74</v>
      </c>
      <c r="J9" s="411">
        <v>-179.333</v>
      </c>
      <c r="K9" s="411">
        <v>-175.17099999999999</v>
      </c>
      <c r="L9" s="411">
        <v>-174.274</v>
      </c>
      <c r="M9" s="411">
        <v>-184.17699999999999</v>
      </c>
      <c r="N9" s="411">
        <v>-185.22800000000001</v>
      </c>
      <c r="O9" s="411">
        <v>-192.042</v>
      </c>
      <c r="P9" s="421">
        <v>-159.19999999999999</v>
      </c>
      <c r="Q9" s="412">
        <v>-173.6</v>
      </c>
      <c r="R9" s="412">
        <v>-186.3</v>
      </c>
      <c r="S9" s="412">
        <v>-212.6</v>
      </c>
      <c r="T9" s="411">
        <v>-204.14400000000001</v>
      </c>
      <c r="U9" s="411">
        <v>-206</v>
      </c>
      <c r="V9" s="411">
        <v>-239.42099999999999</v>
      </c>
      <c r="W9" s="411">
        <v>-271.10599999999999</v>
      </c>
      <c r="X9" s="411">
        <v>-268.14100000000002</v>
      </c>
      <c r="Y9" s="411">
        <v>-257</v>
      </c>
      <c r="Z9" s="411">
        <v>-257</v>
      </c>
      <c r="AA9" s="411">
        <v>-186</v>
      </c>
      <c r="AB9" s="411">
        <v>-187</v>
      </c>
      <c r="AC9" s="411">
        <v>-181.398</v>
      </c>
      <c r="AD9" s="411">
        <v>-183.792</v>
      </c>
      <c r="AE9" s="411">
        <v>-195.08799999999999</v>
      </c>
      <c r="AF9" s="411">
        <v>-208.256</v>
      </c>
      <c r="AG9" s="411">
        <v>-244.49</v>
      </c>
      <c r="AH9" s="411">
        <v>-211.13900000000001</v>
      </c>
      <c r="AI9" s="412">
        <v>-222.31500000000005</v>
      </c>
      <c r="AJ9" s="411">
        <v>-219</v>
      </c>
      <c r="AK9" s="413">
        <v>-228</v>
      </c>
      <c r="AL9" s="413">
        <v>-252</v>
      </c>
      <c r="AM9" s="413">
        <v>-250</v>
      </c>
      <c r="AN9" s="411">
        <v>-235</v>
      </c>
      <c r="AO9" s="411">
        <v>-265</v>
      </c>
      <c r="AP9" s="411">
        <v>-261</v>
      </c>
      <c r="AQ9" s="414">
        <v>-268</v>
      </c>
    </row>
    <row r="10" spans="1:77" s="8" customFormat="1">
      <c r="A10" s="415" t="s">
        <v>6</v>
      </c>
      <c r="B10" s="416" t="s">
        <v>146</v>
      </c>
      <c r="C10" s="416"/>
      <c r="D10" s="417">
        <v>549.89</v>
      </c>
      <c r="E10" s="417">
        <v>621.89700000000005</v>
      </c>
      <c r="F10" s="417">
        <v>701.30100000000004</v>
      </c>
      <c r="G10" s="417">
        <v>709.91499999999996</v>
      </c>
      <c r="H10" s="417">
        <v>725.42200000000003</v>
      </c>
      <c r="I10" s="417">
        <v>801.8</v>
      </c>
      <c r="J10" s="417">
        <v>797.58</v>
      </c>
      <c r="K10" s="417">
        <v>818.02700000000004</v>
      </c>
      <c r="L10" s="417">
        <v>737.19399999999996</v>
      </c>
      <c r="M10" s="417">
        <v>804.20899999999995</v>
      </c>
      <c r="N10" s="417">
        <v>768.30200000000002</v>
      </c>
      <c r="O10" s="417">
        <v>791.73900000000003</v>
      </c>
      <c r="P10" s="418">
        <v>683.9</v>
      </c>
      <c r="Q10" s="418">
        <v>733.5</v>
      </c>
      <c r="R10" s="418">
        <v>726.7</v>
      </c>
      <c r="S10" s="418">
        <f>S8+S9</f>
        <v>772.4</v>
      </c>
      <c r="T10" s="417">
        <v>717.54</v>
      </c>
      <c r="U10" s="417">
        <v>717</v>
      </c>
      <c r="V10" s="417">
        <v>756.54399999999998</v>
      </c>
      <c r="W10" s="417">
        <v>814.79200000000003</v>
      </c>
      <c r="X10" s="417">
        <v>705.41499999999996</v>
      </c>
      <c r="Y10" s="417">
        <v>783.61400000000003</v>
      </c>
      <c r="Z10" s="417">
        <v>726.76099999999997</v>
      </c>
      <c r="AA10" s="417">
        <v>717.71600000000001</v>
      </c>
      <c r="AB10" s="417">
        <v>679.15</v>
      </c>
      <c r="AC10" s="417">
        <v>757.38199999999995</v>
      </c>
      <c r="AD10" s="417">
        <v>720.548</v>
      </c>
      <c r="AE10" s="417">
        <v>693.548</v>
      </c>
      <c r="AF10" s="417">
        <v>635.44500000000005</v>
      </c>
      <c r="AG10" s="417">
        <v>666.57100000000003</v>
      </c>
      <c r="AH10" s="417">
        <v>686.26900000000001</v>
      </c>
      <c r="AI10" s="418">
        <v>705.11499999999955</v>
      </c>
      <c r="AJ10" s="417">
        <v>710</v>
      </c>
      <c r="AK10" s="419">
        <f>SUM(AK8:AK9)</f>
        <v>733</v>
      </c>
      <c r="AL10" s="419">
        <v>766</v>
      </c>
      <c r="AM10" s="419">
        <v>760</v>
      </c>
      <c r="AN10" s="417">
        <v>737</v>
      </c>
      <c r="AO10" s="417">
        <v>745</v>
      </c>
      <c r="AP10" s="417">
        <v>760</v>
      </c>
      <c r="AQ10" s="420">
        <v>771</v>
      </c>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row>
    <row r="11" spans="1:77" s="8" customFormat="1">
      <c r="A11" s="422" t="s">
        <v>7</v>
      </c>
      <c r="B11" s="423" t="s">
        <v>166</v>
      </c>
      <c r="C11" s="423"/>
      <c r="D11" s="424">
        <v>401.78800000000001</v>
      </c>
      <c r="E11" s="424">
        <v>459.72399999999999</v>
      </c>
      <c r="F11" s="424">
        <v>172.14400000000001</v>
      </c>
      <c r="G11" s="424">
        <v>199.99700000000001</v>
      </c>
      <c r="H11" s="424">
        <v>146.506</v>
      </c>
      <c r="I11" s="424">
        <v>115.22199999999999</v>
      </c>
      <c r="J11" s="424">
        <v>173.47900000000001</v>
      </c>
      <c r="K11" s="424">
        <v>103.349</v>
      </c>
      <c r="L11" s="424">
        <v>124.197</v>
      </c>
      <c r="M11" s="424">
        <v>75.453000000000003</v>
      </c>
      <c r="N11" s="424">
        <v>119.021</v>
      </c>
      <c r="O11" s="424">
        <v>113.08499999999999</v>
      </c>
      <c r="P11" s="421">
        <f>P12+P13+P14+P15+P16+P19</f>
        <v>140.69999999999999</v>
      </c>
      <c r="Q11" s="1258">
        <f t="shared" ref="Q11:S11" si="1">Q12+Q13+Q14+Q15+Q16+Q19</f>
        <v>105.268</v>
      </c>
      <c r="R11" s="1258">
        <f t="shared" si="1"/>
        <v>185.62099999999998</v>
      </c>
      <c r="S11" s="1258">
        <f t="shared" si="1"/>
        <v>184.34399999999999</v>
      </c>
      <c r="T11" s="424">
        <v>57.784999999999997</v>
      </c>
      <c r="U11" s="417">
        <v>133.215</v>
      </c>
      <c r="V11" s="424">
        <v>141.34100000000001</v>
      </c>
      <c r="W11" s="424">
        <v>646.81100000000004</v>
      </c>
      <c r="X11" s="424">
        <v>102.932</v>
      </c>
      <c r="Y11" s="424">
        <v>227.73699999999999</v>
      </c>
      <c r="Z11" s="424">
        <v>185.71100000000001</v>
      </c>
      <c r="AA11" s="424">
        <v>173.74700000000001</v>
      </c>
      <c r="AB11" s="424">
        <v>230.85900000000001</v>
      </c>
      <c r="AC11" s="424">
        <v>153.63200000000001</v>
      </c>
      <c r="AD11" s="424">
        <v>159.59899999999999</v>
      </c>
      <c r="AE11" s="424">
        <v>241.51</v>
      </c>
      <c r="AF11" s="424">
        <v>196.79400000000001</v>
      </c>
      <c r="AG11" s="424">
        <v>571.05700000000002</v>
      </c>
      <c r="AH11" s="424">
        <v>383.62599999999998</v>
      </c>
      <c r="AI11" s="421">
        <v>191.02300000000014</v>
      </c>
      <c r="AJ11" s="424">
        <v>219</v>
      </c>
      <c r="AK11" s="425">
        <v>283</v>
      </c>
      <c r="AL11" s="425">
        <v>228</v>
      </c>
      <c r="AM11" s="425">
        <f>SUM(AM13:AM18)</f>
        <v>255</v>
      </c>
      <c r="AN11" s="425">
        <v>257</v>
      </c>
      <c r="AO11" s="425">
        <f>SUM(AO12:AO18)</f>
        <v>243</v>
      </c>
      <c r="AP11" s="425">
        <v>266</v>
      </c>
      <c r="AQ11" s="426">
        <v>215</v>
      </c>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row>
    <row r="12" spans="1:77">
      <c r="A12" s="410" t="s">
        <v>8</v>
      </c>
      <c r="B12" s="349" t="s">
        <v>147</v>
      </c>
      <c r="C12" s="349"/>
      <c r="D12" s="411">
        <v>5.2999999999999999E-2</v>
      </c>
      <c r="E12" s="411">
        <v>4.9820000000000002</v>
      </c>
      <c r="F12" s="411">
        <v>4.8000000000000001E-2</v>
      </c>
      <c r="G12" s="411">
        <v>0.29799999999999999</v>
      </c>
      <c r="H12" s="411">
        <v>9.7000000000000003E-2</v>
      </c>
      <c r="I12" s="411">
        <v>5.415</v>
      </c>
      <c r="J12" s="411">
        <v>8.3000000000000004E-2</v>
      </c>
      <c r="K12" s="411">
        <v>6.8000000000000005E-2</v>
      </c>
      <c r="L12" s="411">
        <v>1.7000000000000001E-2</v>
      </c>
      <c r="M12" s="411">
        <v>6.52</v>
      </c>
      <c r="N12" s="411">
        <v>0.26300000000000001</v>
      </c>
      <c r="O12" s="411">
        <v>0</v>
      </c>
      <c r="P12" s="421">
        <v>0</v>
      </c>
      <c r="Q12" s="412">
        <v>6.1</v>
      </c>
      <c r="R12" s="412">
        <v>2.004</v>
      </c>
      <c r="S12" s="412">
        <v>0</v>
      </c>
      <c r="T12" s="411">
        <v>0</v>
      </c>
      <c r="U12" s="412">
        <v>5.2949999999999999</v>
      </c>
      <c r="V12" s="411">
        <v>0.47099999999999997</v>
      </c>
      <c r="W12" s="411">
        <v>0</v>
      </c>
      <c r="X12" s="411">
        <v>0</v>
      </c>
      <c r="Y12" s="411">
        <v>6.0910000000000002</v>
      </c>
      <c r="Z12" s="411">
        <v>0.315</v>
      </c>
      <c r="AA12" s="411">
        <v>0.105</v>
      </c>
      <c r="AB12" s="411">
        <v>0</v>
      </c>
      <c r="AC12" s="411">
        <v>9.6760000000000002</v>
      </c>
      <c r="AD12" s="411">
        <v>0.98199999999999998</v>
      </c>
      <c r="AE12" s="411">
        <v>0</v>
      </c>
      <c r="AF12" s="411">
        <v>0</v>
      </c>
      <c r="AG12" s="411">
        <v>8.8960000000000008</v>
      </c>
      <c r="AH12" s="411">
        <v>1.149</v>
      </c>
      <c r="AI12" s="412">
        <v>0.25499999999999812</v>
      </c>
      <c r="AJ12" s="411">
        <v>0</v>
      </c>
      <c r="AK12" s="413">
        <v>11</v>
      </c>
      <c r="AL12" s="413">
        <v>1</v>
      </c>
      <c r="AM12" s="413">
        <v>0</v>
      </c>
      <c r="AN12" s="411">
        <v>0</v>
      </c>
      <c r="AO12" s="411">
        <v>11</v>
      </c>
      <c r="AP12" s="411">
        <v>1</v>
      </c>
      <c r="AQ12" s="414">
        <v>0</v>
      </c>
    </row>
    <row r="13" spans="1:77" ht="27" customHeight="1">
      <c r="A13" s="410" t="s">
        <v>9</v>
      </c>
      <c r="B13" s="349" t="s">
        <v>167</v>
      </c>
      <c r="C13" s="349"/>
      <c r="D13" s="411">
        <v>46.15</v>
      </c>
      <c r="E13" s="411">
        <v>17.856000000000002</v>
      </c>
      <c r="F13" s="411">
        <v>-12.064</v>
      </c>
      <c r="G13" s="411">
        <v>8.93</v>
      </c>
      <c r="H13" s="411">
        <v>12.602</v>
      </c>
      <c r="I13" s="411">
        <v>-35.207000000000001</v>
      </c>
      <c r="J13" s="411">
        <v>-15.803000000000001</v>
      </c>
      <c r="K13" s="411">
        <v>-24.169</v>
      </c>
      <c r="L13" s="411">
        <v>-0.47399999999999998</v>
      </c>
      <c r="M13" s="411">
        <v>-34.802</v>
      </c>
      <c r="N13" s="411">
        <v>-28.591999999999999</v>
      </c>
      <c r="O13" s="411">
        <v>-11.188000000000001</v>
      </c>
      <c r="P13" s="421">
        <v>14.5</v>
      </c>
      <c r="Q13" s="412">
        <v>0.9</v>
      </c>
      <c r="R13" s="412">
        <v>32.843000000000004</v>
      </c>
      <c r="S13" s="412">
        <v>45.96</v>
      </c>
      <c r="T13" s="411">
        <v>-0.155</v>
      </c>
      <c r="U13" s="412">
        <v>3.298</v>
      </c>
      <c r="V13" s="411">
        <v>31.059000000000001</v>
      </c>
      <c r="W13" s="411">
        <v>19.952000000000002</v>
      </c>
      <c r="X13" s="411">
        <v>13.223000000000001</v>
      </c>
      <c r="Y13" s="411">
        <v>39.74</v>
      </c>
      <c r="Z13" s="411">
        <v>20.446999999999999</v>
      </c>
      <c r="AA13" s="411">
        <v>1.778</v>
      </c>
      <c r="AB13" s="411">
        <v>23.117999999999999</v>
      </c>
      <c r="AC13" s="411">
        <v>-14.247</v>
      </c>
      <c r="AD13" s="411">
        <v>2.004</v>
      </c>
      <c r="AE13" s="411">
        <v>29.702000000000002</v>
      </c>
      <c r="AF13" s="411">
        <v>-8.4390000000000001</v>
      </c>
      <c r="AG13" s="411">
        <v>-5.3040000000000003</v>
      </c>
      <c r="AH13" s="411">
        <v>29.279</v>
      </c>
      <c r="AI13" s="412">
        <v>-11.135999999999999</v>
      </c>
      <c r="AJ13" s="411">
        <v>19</v>
      </c>
      <c r="AK13" s="413">
        <v>-6</v>
      </c>
      <c r="AL13" s="413">
        <v>-2</v>
      </c>
      <c r="AM13" s="413">
        <v>-3</v>
      </c>
      <c r="AN13" s="411">
        <v>17</v>
      </c>
      <c r="AO13" s="411">
        <v>-2</v>
      </c>
      <c r="AP13" s="411">
        <v>34</v>
      </c>
      <c r="AQ13" s="414">
        <v>-21</v>
      </c>
    </row>
    <row r="14" spans="1:77" ht="27" customHeight="1">
      <c r="A14" s="410" t="s">
        <v>10</v>
      </c>
      <c r="B14" s="349" t="s">
        <v>168</v>
      </c>
      <c r="C14" s="349"/>
      <c r="D14" s="411">
        <v>-0.53600000000000003</v>
      </c>
      <c r="E14" s="411">
        <v>-3.4359999999999999</v>
      </c>
      <c r="F14" s="411">
        <v>-1.2999999999999999E-2</v>
      </c>
      <c r="G14" s="411">
        <v>1.363</v>
      </c>
      <c r="H14" s="411">
        <v>7.4269999999999996</v>
      </c>
      <c r="I14" s="411">
        <v>28.704999999999998</v>
      </c>
      <c r="J14" s="411">
        <v>0.48099999999999998</v>
      </c>
      <c r="K14" s="411">
        <v>36.442999999999998</v>
      </c>
      <c r="L14" s="411">
        <v>3.532</v>
      </c>
      <c r="M14" s="411">
        <v>12.404999999999999</v>
      </c>
      <c r="N14" s="411">
        <v>0.67</v>
      </c>
      <c r="O14" s="411">
        <v>3.5720000000000001</v>
      </c>
      <c r="P14" s="421">
        <v>-0.7</v>
      </c>
      <c r="Q14" s="412">
        <v>5.3</v>
      </c>
      <c r="R14" s="412">
        <v>17.347999999999999</v>
      </c>
      <c r="S14" s="412">
        <v>57.823</v>
      </c>
      <c r="T14" s="411">
        <v>28.324000000000002</v>
      </c>
      <c r="U14" s="412">
        <v>33.029000000000003</v>
      </c>
      <c r="V14" s="411">
        <v>3.4249999999999998</v>
      </c>
      <c r="W14" s="411">
        <v>2.706</v>
      </c>
      <c r="X14" s="411">
        <v>6.6390000000000002</v>
      </c>
      <c r="Y14" s="411">
        <v>31.907</v>
      </c>
      <c r="Z14" s="411">
        <v>33.338000000000001</v>
      </c>
      <c r="AA14" s="411">
        <v>78.165999999999997</v>
      </c>
      <c r="AB14" s="411">
        <v>52.540999999999997</v>
      </c>
      <c r="AC14" s="411">
        <v>16.812000000000001</v>
      </c>
      <c r="AD14" s="411">
        <v>6.3849999999999998</v>
      </c>
      <c r="AE14" s="411">
        <v>12.009</v>
      </c>
      <c r="AF14" s="411">
        <v>50.631</v>
      </c>
      <c r="AG14" s="411">
        <v>425.767</v>
      </c>
      <c r="AH14" s="411">
        <v>26.934000000000001</v>
      </c>
      <c r="AI14" s="412">
        <v>2.768000000000054</v>
      </c>
      <c r="AJ14" s="411">
        <v>5</v>
      </c>
      <c r="AK14" s="413">
        <v>-4</v>
      </c>
      <c r="AL14" s="413">
        <v>16</v>
      </c>
      <c r="AM14" s="413">
        <v>29</v>
      </c>
      <c r="AN14" s="427"/>
      <c r="AO14" s="427"/>
      <c r="AP14" s="427"/>
      <c r="AQ14" s="428">
        <v>0</v>
      </c>
    </row>
    <row r="15" spans="1:77">
      <c r="A15" s="410" t="s">
        <v>11</v>
      </c>
      <c r="B15" s="349" t="s">
        <v>169</v>
      </c>
      <c r="C15" s="349"/>
      <c r="D15" s="411">
        <v>310.2</v>
      </c>
      <c r="E15" s="411">
        <v>329.98200000000003</v>
      </c>
      <c r="F15" s="411">
        <v>120.048</v>
      </c>
      <c r="G15" s="411">
        <v>148.90899999999999</v>
      </c>
      <c r="H15" s="411">
        <v>97.307000000000002</v>
      </c>
      <c r="I15" s="411">
        <v>68.647000000000006</v>
      </c>
      <c r="J15" s="411">
        <v>125.86</v>
      </c>
      <c r="K15" s="411">
        <v>54.948</v>
      </c>
      <c r="L15" s="411">
        <v>74.869</v>
      </c>
      <c r="M15" s="411">
        <v>57.515999999999998</v>
      </c>
      <c r="N15" s="411">
        <v>115.102</v>
      </c>
      <c r="O15" s="411">
        <v>89.808999999999997</v>
      </c>
      <c r="P15" s="421">
        <v>91.8</v>
      </c>
      <c r="Q15" s="412">
        <v>52.9</v>
      </c>
      <c r="R15" s="412">
        <v>88.731999999999999</v>
      </c>
      <c r="S15" s="412">
        <v>22.75</v>
      </c>
      <c r="T15" s="411">
        <v>-12.225</v>
      </c>
      <c r="U15" s="412">
        <v>87.168000000000006</v>
      </c>
      <c r="V15" s="411">
        <v>67.444999999999993</v>
      </c>
      <c r="W15" s="411">
        <v>99.46</v>
      </c>
      <c r="X15" s="411">
        <v>48.639000000000003</v>
      </c>
      <c r="Y15" s="411">
        <v>86.781999999999996</v>
      </c>
      <c r="Z15" s="411">
        <v>66.385999999999996</v>
      </c>
      <c r="AA15" s="411">
        <v>33.99</v>
      </c>
      <c r="AB15" s="411">
        <v>72.239000000000004</v>
      </c>
      <c r="AC15" s="411">
        <v>94.448999999999998</v>
      </c>
      <c r="AD15" s="411">
        <v>92.247</v>
      </c>
      <c r="AE15" s="411">
        <v>110.15900000000001</v>
      </c>
      <c r="AF15" s="411">
        <v>94.42</v>
      </c>
      <c r="AG15" s="411">
        <v>108.81399999999999</v>
      </c>
      <c r="AH15" s="411">
        <v>147.708</v>
      </c>
      <c r="AI15" s="412">
        <v>152.25800000000001</v>
      </c>
      <c r="AJ15" s="411">
        <v>116</v>
      </c>
      <c r="AK15" s="413">
        <v>107</v>
      </c>
      <c r="AL15" s="413">
        <v>101</v>
      </c>
      <c r="AM15" s="413">
        <v>128</v>
      </c>
      <c r="AN15" s="411">
        <v>104</v>
      </c>
      <c r="AO15" s="411">
        <v>143</v>
      </c>
      <c r="AP15" s="411">
        <v>98</v>
      </c>
      <c r="AQ15" s="414">
        <v>144</v>
      </c>
    </row>
    <row r="16" spans="1:77" s="9" customFormat="1" ht="43.5" customHeight="1">
      <c r="A16" s="429" t="s">
        <v>132</v>
      </c>
      <c r="B16" s="430" t="s">
        <v>170</v>
      </c>
      <c r="C16" s="430"/>
      <c r="D16" s="431"/>
      <c r="E16" s="431"/>
      <c r="F16" s="431"/>
      <c r="G16" s="431"/>
      <c r="H16" s="431"/>
      <c r="I16" s="431"/>
      <c r="J16" s="431"/>
      <c r="K16" s="431"/>
      <c r="L16" s="431"/>
      <c r="M16" s="431"/>
      <c r="N16" s="431"/>
      <c r="O16" s="431"/>
      <c r="P16" s="432"/>
      <c r="Q16" s="432"/>
      <c r="R16" s="432"/>
      <c r="S16" s="432"/>
      <c r="T16" s="431"/>
      <c r="U16" s="433"/>
      <c r="V16" s="431"/>
      <c r="W16" s="431"/>
      <c r="X16" s="431"/>
      <c r="Y16" s="431"/>
      <c r="Z16" s="431"/>
      <c r="AA16" s="431"/>
      <c r="AB16" s="431"/>
      <c r="AC16" s="431"/>
      <c r="AD16" s="431"/>
      <c r="AE16" s="431"/>
      <c r="AF16" s="431"/>
      <c r="AG16" s="431"/>
      <c r="AH16" s="431"/>
      <c r="AI16" s="431"/>
      <c r="AJ16" s="431"/>
      <c r="AK16" s="434"/>
      <c r="AL16" s="434"/>
      <c r="AM16" s="434"/>
      <c r="AN16" s="431">
        <v>37</v>
      </c>
      <c r="AO16" s="431">
        <v>57</v>
      </c>
      <c r="AP16" s="431">
        <v>35</v>
      </c>
      <c r="AQ16" s="435">
        <v>6</v>
      </c>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row>
    <row r="17" spans="1:77">
      <c r="A17" s="410" t="s">
        <v>12</v>
      </c>
      <c r="B17" s="349" t="s">
        <v>171</v>
      </c>
      <c r="C17" s="349"/>
      <c r="D17" s="411">
        <v>124.797</v>
      </c>
      <c r="E17" s="411">
        <v>186.45</v>
      </c>
      <c r="F17" s="411">
        <v>145.08799999999999</v>
      </c>
      <c r="G17" s="411">
        <v>128.61399999999998</v>
      </c>
      <c r="H17" s="411">
        <v>92.022000000000006</v>
      </c>
      <c r="I17" s="411">
        <v>97.316000000000003</v>
      </c>
      <c r="J17" s="411">
        <v>149.125</v>
      </c>
      <c r="K17" s="411">
        <v>130.92500000000001</v>
      </c>
      <c r="L17" s="411">
        <v>117.782</v>
      </c>
      <c r="M17" s="411">
        <v>112.327</v>
      </c>
      <c r="N17" s="411">
        <v>100.858</v>
      </c>
      <c r="O17" s="411">
        <v>120.756</v>
      </c>
      <c r="P17" s="412">
        <v>109.6</v>
      </c>
      <c r="Q17" s="412">
        <v>128</v>
      </c>
      <c r="R17" s="412">
        <v>149.06399999999999</v>
      </c>
      <c r="S17" s="412">
        <v>176.65899999999999</v>
      </c>
      <c r="T17" s="411">
        <v>112.134</v>
      </c>
      <c r="U17" s="412">
        <v>138</v>
      </c>
      <c r="V17" s="411">
        <v>167.11500000000001</v>
      </c>
      <c r="W17" s="411">
        <v>663.24699999999996</v>
      </c>
      <c r="X17" s="411">
        <v>107.95099999999999</v>
      </c>
      <c r="Y17" s="411">
        <v>165.643</v>
      </c>
      <c r="Z17" s="411">
        <v>138.512</v>
      </c>
      <c r="AA17" s="411">
        <v>158.673</v>
      </c>
      <c r="AB17" s="411">
        <v>139.90700000000001</v>
      </c>
      <c r="AC17" s="411">
        <v>134.083</v>
      </c>
      <c r="AD17" s="436">
        <v>111.13800000000001</v>
      </c>
      <c r="AE17" s="436">
        <v>127.96199999999999</v>
      </c>
      <c r="AF17" s="411">
        <v>123.604</v>
      </c>
      <c r="AG17" s="411">
        <v>185.34</v>
      </c>
      <c r="AH17" s="411">
        <v>272.45499999999998</v>
      </c>
      <c r="AI17" s="411">
        <v>68</v>
      </c>
      <c r="AJ17" s="411">
        <v>118</v>
      </c>
      <c r="AK17" s="411">
        <v>274</v>
      </c>
      <c r="AL17" s="411">
        <v>163</v>
      </c>
      <c r="AM17" s="411">
        <v>178</v>
      </c>
      <c r="AN17" s="411">
        <v>157</v>
      </c>
      <c r="AO17" s="411">
        <v>160</v>
      </c>
      <c r="AP17" s="411">
        <v>148</v>
      </c>
      <c r="AQ17" s="414">
        <v>165</v>
      </c>
    </row>
    <row r="18" spans="1:77">
      <c r="A18" s="410" t="s">
        <v>13</v>
      </c>
      <c r="B18" s="349" t="s">
        <v>172</v>
      </c>
      <c r="C18" s="349"/>
      <c r="D18" s="411">
        <v>-78.876000000000005</v>
      </c>
      <c r="E18" s="411">
        <v>-76.11</v>
      </c>
      <c r="F18" s="411">
        <v>-80.962999999999994</v>
      </c>
      <c r="G18" s="411">
        <v>-88.11699999999999</v>
      </c>
      <c r="H18" s="411">
        <v>-62.948999999999998</v>
      </c>
      <c r="I18" s="411">
        <v>-49.654000000000003</v>
      </c>
      <c r="J18" s="411">
        <v>-86.266999999999996</v>
      </c>
      <c r="K18" s="411">
        <v>-94.866</v>
      </c>
      <c r="L18" s="411">
        <v>-71.528999999999996</v>
      </c>
      <c r="M18" s="411">
        <v>-78.513000000000005</v>
      </c>
      <c r="N18" s="411">
        <v>-69.28</v>
      </c>
      <c r="O18" s="411">
        <v>-89.864000000000004</v>
      </c>
      <c r="P18" s="412">
        <v>-74.5</v>
      </c>
      <c r="Q18" s="412">
        <v>-87.971999999999994</v>
      </c>
      <c r="R18" s="412">
        <v>-104.37</v>
      </c>
      <c r="S18" s="412">
        <v>-118.848</v>
      </c>
      <c r="T18" s="411">
        <v>-70</v>
      </c>
      <c r="U18" s="412">
        <v>-134</v>
      </c>
      <c r="V18" s="411">
        <v>-128.17400000000001</v>
      </c>
      <c r="W18" s="411">
        <v>-138.554</v>
      </c>
      <c r="X18" s="411">
        <v>-73.52</v>
      </c>
      <c r="Y18" s="411">
        <v>-102.426</v>
      </c>
      <c r="Z18" s="411">
        <v>-73.287000000000006</v>
      </c>
      <c r="AA18" s="411">
        <v>-98.965000000000003</v>
      </c>
      <c r="AB18" s="411">
        <v>-56.945999999999998</v>
      </c>
      <c r="AC18" s="411">
        <v>-87.141000000000005</v>
      </c>
      <c r="AD18" s="436">
        <v>-53.156999999999996</v>
      </c>
      <c r="AE18" s="436">
        <v>-38.442999999999984</v>
      </c>
      <c r="AF18" s="411">
        <v>-63.421999999999997</v>
      </c>
      <c r="AG18" s="411">
        <v>-152.45599999999999</v>
      </c>
      <c r="AH18" s="411">
        <v>-93.899000000000001</v>
      </c>
      <c r="AI18" s="411">
        <v>-20.222999999999985</v>
      </c>
      <c r="AJ18" s="411">
        <v>-39</v>
      </c>
      <c r="AK18" s="411">
        <v>-99</v>
      </c>
      <c r="AL18" s="411">
        <v>-51</v>
      </c>
      <c r="AM18" s="411">
        <v>-77</v>
      </c>
      <c r="AN18" s="411">
        <v>-58</v>
      </c>
      <c r="AO18" s="411">
        <v>-126</v>
      </c>
      <c r="AP18" s="411">
        <v>-50</v>
      </c>
      <c r="AQ18" s="414">
        <v>-79</v>
      </c>
    </row>
    <row r="19" spans="1:77" s="10" customFormat="1">
      <c r="A19" s="410" t="s">
        <v>14</v>
      </c>
      <c r="B19" s="349" t="s">
        <v>173</v>
      </c>
      <c r="C19" s="349"/>
      <c r="D19" s="411">
        <v>45.920999999999999</v>
      </c>
      <c r="E19" s="411">
        <v>110.34</v>
      </c>
      <c r="F19" s="411">
        <v>64.125</v>
      </c>
      <c r="G19" s="411">
        <v>40.496999999999986</v>
      </c>
      <c r="H19" s="411">
        <v>29.073</v>
      </c>
      <c r="I19" s="411">
        <v>47.661999999999999</v>
      </c>
      <c r="J19" s="411">
        <v>62.857999999999997</v>
      </c>
      <c r="K19" s="411">
        <v>36.058999999999997</v>
      </c>
      <c r="L19" s="411">
        <v>46.253</v>
      </c>
      <c r="M19" s="411">
        <v>33.814</v>
      </c>
      <c r="N19" s="411">
        <v>31.577999999999999</v>
      </c>
      <c r="O19" s="411">
        <v>30.891999999999999</v>
      </c>
      <c r="P19" s="412">
        <f>P17+P18</f>
        <v>35.099999999999994</v>
      </c>
      <c r="Q19" s="412">
        <v>40.067999999999998</v>
      </c>
      <c r="R19" s="412">
        <v>44.694000000000003</v>
      </c>
      <c r="S19" s="412">
        <v>57.811</v>
      </c>
      <c r="T19" s="411">
        <v>41.841000000000001</v>
      </c>
      <c r="U19" s="412">
        <v>4.2699999999999996</v>
      </c>
      <c r="V19" s="411">
        <v>38.941000000000003</v>
      </c>
      <c r="W19" s="411">
        <v>524.69299999999998</v>
      </c>
      <c r="X19" s="411">
        <v>34.430999999999997</v>
      </c>
      <c r="Y19" s="411">
        <v>63.216999999999999</v>
      </c>
      <c r="Z19" s="411">
        <v>65.224999999999994</v>
      </c>
      <c r="AA19" s="411">
        <v>59.707999999999998</v>
      </c>
      <c r="AB19" s="411">
        <v>82.960999999999999</v>
      </c>
      <c r="AC19" s="411">
        <v>46.942</v>
      </c>
      <c r="AD19" s="436">
        <v>57.981000000000009</v>
      </c>
      <c r="AE19" s="436">
        <v>89.519000000000005</v>
      </c>
      <c r="AF19" s="419">
        <v>60.182000000000002</v>
      </c>
      <c r="AG19" s="419">
        <v>32.884</v>
      </c>
      <c r="AH19" s="419">
        <v>178.55600000000001</v>
      </c>
      <c r="AI19" s="419">
        <v>46.878000000000071</v>
      </c>
      <c r="AJ19" s="419">
        <v>79</v>
      </c>
      <c r="AK19" s="419">
        <f>SUM(AK17:AK18)</f>
        <v>175</v>
      </c>
      <c r="AL19" s="419">
        <v>112</v>
      </c>
      <c r="AM19" s="419">
        <v>101</v>
      </c>
      <c r="AN19" s="419">
        <v>99</v>
      </c>
      <c r="AO19" s="419">
        <v>34</v>
      </c>
      <c r="AP19" s="419">
        <v>98</v>
      </c>
      <c r="AQ19" s="437">
        <v>86</v>
      </c>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row>
    <row r="20" spans="1:77" s="8" customFormat="1" ht="27" customHeight="1">
      <c r="A20" s="422" t="s">
        <v>15</v>
      </c>
      <c r="B20" s="423" t="s">
        <v>157</v>
      </c>
      <c r="C20" s="423"/>
      <c r="D20" s="424">
        <v>-373.62200000000001</v>
      </c>
      <c r="E20" s="424">
        <v>-390.459</v>
      </c>
      <c r="F20" s="424">
        <v>-364.18400000000003</v>
      </c>
      <c r="G20" s="424">
        <v>-552.80999999999995</v>
      </c>
      <c r="H20" s="424">
        <v>-425.13299999999998</v>
      </c>
      <c r="I20" s="424">
        <v>-458.15100000000001</v>
      </c>
      <c r="J20" s="424">
        <v>-558.65300000000002</v>
      </c>
      <c r="K20" s="424">
        <v>-426.42700000000002</v>
      </c>
      <c r="L20" s="424">
        <v>-438.40800000000002</v>
      </c>
      <c r="M20" s="424">
        <v>-442.99200000000002</v>
      </c>
      <c r="N20" s="424">
        <v>-487.73599999999999</v>
      </c>
      <c r="O20" s="424">
        <v>-561.31100000000004</v>
      </c>
      <c r="P20" s="421">
        <v>-527.5</v>
      </c>
      <c r="Q20" s="421">
        <v>-573.75900000000001</v>
      </c>
      <c r="R20" s="421">
        <v>-657.62699999999995</v>
      </c>
      <c r="S20" s="421">
        <v>-566.31600000000003</v>
      </c>
      <c r="T20" s="424">
        <v>-447.983</v>
      </c>
      <c r="U20" s="421">
        <v>-418.93599999999998</v>
      </c>
      <c r="V20" s="424">
        <v>-487.76299999999998</v>
      </c>
      <c r="W20" s="424">
        <v>-683.19899999999996</v>
      </c>
      <c r="X20" s="424">
        <v>-413.45800000000003</v>
      </c>
      <c r="Y20" s="424">
        <v>-557.68299999999999</v>
      </c>
      <c r="Z20" s="424">
        <v>-475.209</v>
      </c>
      <c r="AA20" s="424">
        <v>-452</v>
      </c>
      <c r="AB20" s="424">
        <v>-373.57900000000001</v>
      </c>
      <c r="AC20" s="424">
        <v>-375.07</v>
      </c>
      <c r="AD20" s="424">
        <v>-362.31599999999997</v>
      </c>
      <c r="AE20" s="424">
        <v>-364.95299999999997</v>
      </c>
      <c r="AF20" s="424">
        <v>-382.166</v>
      </c>
      <c r="AG20" s="424">
        <v>-400.202</v>
      </c>
      <c r="AH20" s="424">
        <v>-419.15199999999999</v>
      </c>
      <c r="AI20" s="421">
        <v>-421.17999999999989</v>
      </c>
      <c r="AJ20" s="424">
        <v>-394</v>
      </c>
      <c r="AK20" s="417">
        <v>-393</v>
      </c>
      <c r="AL20" s="424">
        <v>-391.99279212093529</v>
      </c>
      <c r="AM20" s="424">
        <v>-438</v>
      </c>
      <c r="AN20" s="424">
        <v>-333</v>
      </c>
      <c r="AO20" s="417">
        <v>-377</v>
      </c>
      <c r="AP20" s="438">
        <v>-328</v>
      </c>
      <c r="AQ20" s="439">
        <v>-413</v>
      </c>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row>
    <row r="21" spans="1:77" s="8" customFormat="1">
      <c r="A21" s="422" t="s">
        <v>16</v>
      </c>
      <c r="B21" s="423" t="s">
        <v>155</v>
      </c>
      <c r="C21" s="423"/>
      <c r="D21" s="424">
        <v>-1081.501</v>
      </c>
      <c r="E21" s="424">
        <v>-993.625</v>
      </c>
      <c r="F21" s="424">
        <v>-1028.924</v>
      </c>
      <c r="G21" s="424">
        <v>-1139.7850000000001</v>
      </c>
      <c r="H21" s="424">
        <v>-1014.204</v>
      </c>
      <c r="I21" s="424">
        <v>-1020.809</v>
      </c>
      <c r="J21" s="424">
        <v>-1057.47</v>
      </c>
      <c r="K21" s="424">
        <v>-1156.653</v>
      </c>
      <c r="L21" s="424">
        <v>-1054.117</v>
      </c>
      <c r="M21" s="424">
        <v>-1069.0540000000001</v>
      </c>
      <c r="N21" s="424">
        <v>-1102.5419999999999</v>
      </c>
      <c r="O21" s="424">
        <v>-1185.644</v>
      </c>
      <c r="P21" s="421">
        <v>-1152.33</v>
      </c>
      <c r="Q21" s="421">
        <v>-1094.011</v>
      </c>
      <c r="R21" s="421">
        <v>-1131.433</v>
      </c>
      <c r="S21" s="421">
        <v>-1304.8</v>
      </c>
      <c r="T21" s="424">
        <v>-1119.7270000000001</v>
      </c>
      <c r="U21" s="421">
        <v>-1105.7670000000001</v>
      </c>
      <c r="V21" s="424">
        <v>-1115.6030000000001</v>
      </c>
      <c r="W21" s="424">
        <v>-1281.4459999999999</v>
      </c>
      <c r="X21" s="424">
        <v>-1125.76</v>
      </c>
      <c r="Y21" s="424">
        <v>-1342.7539999999999</v>
      </c>
      <c r="Z21" s="424">
        <v>-1337.2</v>
      </c>
      <c r="AA21" s="424">
        <v>-1439.4</v>
      </c>
      <c r="AB21" s="424">
        <v>-1404.77</v>
      </c>
      <c r="AC21" s="424">
        <v>-1372.317</v>
      </c>
      <c r="AD21" s="424">
        <v>-1335.4760000000001</v>
      </c>
      <c r="AE21" s="424">
        <v>-1923</v>
      </c>
      <c r="AF21" s="424">
        <v>-1360.4929999999999</v>
      </c>
      <c r="AG21" s="424">
        <v>-1396.039</v>
      </c>
      <c r="AH21" s="424">
        <v>-1377</v>
      </c>
      <c r="AI21" s="421">
        <v>-1455.9519999999995</v>
      </c>
      <c r="AJ21" s="424">
        <v>-1563</v>
      </c>
      <c r="AK21" s="419">
        <v>-1375</v>
      </c>
      <c r="AL21" s="419">
        <v>-1372</v>
      </c>
      <c r="AM21" s="419">
        <v>-1474</v>
      </c>
      <c r="AN21" s="424">
        <v>-1579</v>
      </c>
      <c r="AO21" s="424">
        <v>-1438</v>
      </c>
      <c r="AP21" s="424">
        <v>-1441</v>
      </c>
      <c r="AQ21" s="440">
        <v>-1447</v>
      </c>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row>
    <row r="22" spans="1:77" s="8" customFormat="1">
      <c r="A22" s="441" t="s">
        <v>122</v>
      </c>
      <c r="B22" s="423" t="s">
        <v>174</v>
      </c>
      <c r="C22" s="423"/>
      <c r="D22" s="411">
        <v>0</v>
      </c>
      <c r="E22" s="411">
        <v>0</v>
      </c>
      <c r="F22" s="411">
        <v>0</v>
      </c>
      <c r="G22" s="411">
        <v>0</v>
      </c>
      <c r="H22" s="411">
        <v>0</v>
      </c>
      <c r="I22" s="411">
        <v>0</v>
      </c>
      <c r="J22" s="411">
        <v>0</v>
      </c>
      <c r="K22" s="411">
        <v>0</v>
      </c>
      <c r="L22" s="411">
        <v>0</v>
      </c>
      <c r="M22" s="411">
        <v>0</v>
      </c>
      <c r="N22" s="411">
        <v>0</v>
      </c>
      <c r="O22" s="411">
        <v>0</v>
      </c>
      <c r="P22" s="412">
        <v>0</v>
      </c>
      <c r="Q22" s="412">
        <v>0</v>
      </c>
      <c r="R22" s="412">
        <v>0</v>
      </c>
      <c r="S22" s="412">
        <v>0</v>
      </c>
      <c r="T22" s="411">
        <v>0</v>
      </c>
      <c r="U22" s="412">
        <v>0</v>
      </c>
      <c r="V22" s="411">
        <v>0</v>
      </c>
      <c r="W22" s="411">
        <v>0</v>
      </c>
      <c r="X22" s="411">
        <v>0</v>
      </c>
      <c r="Y22" s="411">
        <v>0</v>
      </c>
      <c r="Z22" s="411">
        <v>0</v>
      </c>
      <c r="AA22" s="411">
        <v>0</v>
      </c>
      <c r="AB22" s="411">
        <v>0</v>
      </c>
      <c r="AC22" s="411">
        <v>0</v>
      </c>
      <c r="AD22" s="411">
        <v>0</v>
      </c>
      <c r="AE22" s="411">
        <v>0</v>
      </c>
      <c r="AF22" s="411">
        <v>-148.36500000000001</v>
      </c>
      <c r="AG22" s="411">
        <v>-221.03100000000001</v>
      </c>
      <c r="AH22" s="411">
        <v>-225.35300000000001</v>
      </c>
      <c r="AI22" s="412">
        <v>-234.15099999999995</v>
      </c>
      <c r="AJ22" s="411">
        <v>-233</v>
      </c>
      <c r="AK22" s="413">
        <v>-231</v>
      </c>
      <c r="AL22" s="413">
        <v>-234</v>
      </c>
      <c r="AM22" s="413">
        <v>-234</v>
      </c>
      <c r="AN22" s="411">
        <v>-228</v>
      </c>
      <c r="AO22" s="411">
        <v>-233</v>
      </c>
      <c r="AP22" s="411">
        <v>-238</v>
      </c>
      <c r="AQ22" s="414">
        <v>-251</v>
      </c>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row>
    <row r="23" spans="1:77" s="8" customFormat="1">
      <c r="A23" s="415" t="s">
        <v>17</v>
      </c>
      <c r="B23" s="416" t="s">
        <v>148</v>
      </c>
      <c r="C23" s="416"/>
      <c r="D23" s="417">
        <v>689.7</v>
      </c>
      <c r="E23" s="417">
        <v>806.01900000000001</v>
      </c>
      <c r="F23" s="417">
        <v>812.65700000000004</v>
      </c>
      <c r="G23" s="417">
        <v>634.55200000000002</v>
      </c>
      <c r="H23" s="417">
        <v>907.09</v>
      </c>
      <c r="I23" s="417">
        <v>1029.742</v>
      </c>
      <c r="J23" s="417">
        <v>1074.0930000000001</v>
      </c>
      <c r="K23" s="417">
        <v>1069.126</v>
      </c>
      <c r="L23" s="417">
        <v>1088.335</v>
      </c>
      <c r="M23" s="417">
        <v>1222.693</v>
      </c>
      <c r="N23" s="417">
        <v>1261.18</v>
      </c>
      <c r="O23" s="417">
        <v>1228.3040000000001</v>
      </c>
      <c r="P23" s="418">
        <v>1258.0999999999999</v>
      </c>
      <c r="Q23" s="418">
        <v>1216.0999999999999</v>
      </c>
      <c r="R23" s="418">
        <v>1146.7</v>
      </c>
      <c r="S23" s="418">
        <v>993</v>
      </c>
      <c r="T23" s="417">
        <v>960.26599999999996</v>
      </c>
      <c r="U23" s="417">
        <v>953.30200000000002</v>
      </c>
      <c r="V23" s="417">
        <v>921.45100000000002</v>
      </c>
      <c r="W23" s="417">
        <v>1211.4870000000001</v>
      </c>
      <c r="X23" s="417">
        <v>1008.957</v>
      </c>
      <c r="Y23" s="417">
        <v>1049.9480000000001</v>
      </c>
      <c r="Z23" s="417">
        <v>1078.778</v>
      </c>
      <c r="AA23" s="417">
        <v>865.07</v>
      </c>
      <c r="AB23" s="417">
        <v>802.39800000000002</v>
      </c>
      <c r="AC23" s="417">
        <v>846.98900000000003</v>
      </c>
      <c r="AD23" s="417">
        <v>1000.454</v>
      </c>
      <c r="AE23" s="417">
        <v>502.79399999999998</v>
      </c>
      <c r="AF23" s="417">
        <v>794.41</v>
      </c>
      <c r="AG23" s="417">
        <v>1129.672</v>
      </c>
      <c r="AH23" s="417">
        <v>1018.952</v>
      </c>
      <c r="AI23" s="418">
        <v>805.66600000000108</v>
      </c>
      <c r="AJ23" s="417">
        <v>785</v>
      </c>
      <c r="AK23" s="419">
        <v>1131</v>
      </c>
      <c r="AL23" s="419">
        <v>1193</v>
      </c>
      <c r="AM23" s="419">
        <v>1118</v>
      </c>
      <c r="AN23" s="417">
        <v>1070</v>
      </c>
      <c r="AO23" s="417">
        <v>1231</v>
      </c>
      <c r="AP23" s="417">
        <v>1385</v>
      </c>
      <c r="AQ23" s="420">
        <v>1355</v>
      </c>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row>
    <row r="24" spans="1:77" ht="27" customHeight="1">
      <c r="A24" s="410" t="s">
        <v>18</v>
      </c>
      <c r="B24" s="349" t="s">
        <v>149</v>
      </c>
      <c r="C24" s="349"/>
      <c r="D24" s="411">
        <v>5.4589999999999996</v>
      </c>
      <c r="E24" s="411">
        <v>-5.7910000000000004</v>
      </c>
      <c r="F24" s="411">
        <v>1.8009999999999999</v>
      </c>
      <c r="G24" s="411">
        <v>-1.127</v>
      </c>
      <c r="H24" s="411">
        <v>-4.3860000000000001</v>
      </c>
      <c r="I24" s="411">
        <v>-0.60799999999999998</v>
      </c>
      <c r="J24" s="411">
        <v>0.35899999999999999</v>
      </c>
      <c r="K24" s="411">
        <v>3.82</v>
      </c>
      <c r="L24" s="411">
        <v>-3.3380000000000001</v>
      </c>
      <c r="M24" s="411">
        <v>-0.45900000000000002</v>
      </c>
      <c r="N24" s="411">
        <v>0.67900000000000005</v>
      </c>
      <c r="O24" s="411">
        <v>-16.533999999999999</v>
      </c>
      <c r="P24" s="412">
        <v>8.0109999999999992</v>
      </c>
      <c r="Q24" s="412">
        <v>-1.9830000000000001</v>
      </c>
      <c r="R24" s="412">
        <v>8.3989999999999991</v>
      </c>
      <c r="S24" s="412">
        <v>4.5979999999999999</v>
      </c>
      <c r="T24" s="411">
        <v>-2.3370000000000002</v>
      </c>
      <c r="U24" s="412">
        <v>-12.316000000000001</v>
      </c>
      <c r="V24" s="411">
        <v>11.225</v>
      </c>
      <c r="W24" s="411">
        <v>1.45</v>
      </c>
      <c r="X24" s="411">
        <v>-5.6319999999999997</v>
      </c>
      <c r="Y24" s="411">
        <v>12.945</v>
      </c>
      <c r="Z24" s="411">
        <v>15.948</v>
      </c>
      <c r="AA24" s="411">
        <v>8.5489999999999995</v>
      </c>
      <c r="AB24" s="411">
        <v>8.5150000000000006</v>
      </c>
      <c r="AC24" s="411">
        <v>7.3079999999999998</v>
      </c>
      <c r="AD24" s="411">
        <v>8.2789999999999999</v>
      </c>
      <c r="AE24" s="411">
        <v>14.013</v>
      </c>
      <c r="AF24" s="411">
        <v>3.3180000000000001</v>
      </c>
      <c r="AG24" s="411">
        <v>7.2969999999999997</v>
      </c>
      <c r="AH24" s="411">
        <v>14.122999999999999</v>
      </c>
      <c r="AI24" s="412">
        <v>9.7619999999999987</v>
      </c>
      <c r="AJ24" s="411">
        <v>5</v>
      </c>
      <c r="AK24" s="413">
        <v>6</v>
      </c>
      <c r="AL24" s="413">
        <v>9</v>
      </c>
      <c r="AM24" s="413">
        <v>2</v>
      </c>
      <c r="AN24" s="411">
        <v>6</v>
      </c>
      <c r="AO24" s="411">
        <v>8</v>
      </c>
      <c r="AP24" s="411">
        <v>8</v>
      </c>
      <c r="AQ24" s="414">
        <v>15</v>
      </c>
    </row>
    <row r="25" spans="1:77" s="8" customFormat="1">
      <c r="A25" s="415" t="s">
        <v>19</v>
      </c>
      <c r="B25" s="416" t="s">
        <v>175</v>
      </c>
      <c r="C25" s="416"/>
      <c r="D25" s="417">
        <v>695.15899999999999</v>
      </c>
      <c r="E25" s="417">
        <v>800.22799999999995</v>
      </c>
      <c r="F25" s="417">
        <v>814.45799999999997</v>
      </c>
      <c r="G25" s="417">
        <v>633.42499999999995</v>
      </c>
      <c r="H25" s="417">
        <v>902.70399999999995</v>
      </c>
      <c r="I25" s="417">
        <v>1029.134</v>
      </c>
      <c r="J25" s="417">
        <v>1074.452</v>
      </c>
      <c r="K25" s="417">
        <v>1072.9459999999999</v>
      </c>
      <c r="L25" s="417">
        <v>1084.9970000000001</v>
      </c>
      <c r="M25" s="417">
        <v>1222.2339999999999</v>
      </c>
      <c r="N25" s="417">
        <v>1261.8589999999999</v>
      </c>
      <c r="O25" s="417">
        <v>1211.77</v>
      </c>
      <c r="P25" s="418">
        <f>P23+P24</f>
        <v>1266.1109999999999</v>
      </c>
      <c r="Q25" s="418">
        <f t="shared" ref="Q25:S25" si="2">Q23+Q24</f>
        <v>1214.117</v>
      </c>
      <c r="R25" s="418">
        <f t="shared" si="2"/>
        <v>1155.0989999999999</v>
      </c>
      <c r="S25" s="418">
        <f t="shared" si="2"/>
        <v>997.59799999999996</v>
      </c>
      <c r="T25" s="417">
        <v>957.92899999999997</v>
      </c>
      <c r="U25" s="417">
        <v>940.98599999999999</v>
      </c>
      <c r="V25" s="417">
        <v>932.67600000000004</v>
      </c>
      <c r="W25" s="417">
        <v>1212.9369999999999</v>
      </c>
      <c r="X25" s="417">
        <v>1003.325</v>
      </c>
      <c r="Y25" s="417">
        <v>1062.893</v>
      </c>
      <c r="Z25" s="417">
        <v>1094.7260000000001</v>
      </c>
      <c r="AA25" s="417">
        <v>873.61900000000003</v>
      </c>
      <c r="AB25" s="417">
        <v>810.91300000000001</v>
      </c>
      <c r="AC25" s="417">
        <v>854.29700000000003</v>
      </c>
      <c r="AD25" s="417">
        <v>1008.7329999999999</v>
      </c>
      <c r="AE25" s="417">
        <v>516.80700000000002</v>
      </c>
      <c r="AF25" s="417">
        <v>797.72799999999995</v>
      </c>
      <c r="AG25" s="417">
        <v>1136.9690000000001</v>
      </c>
      <c r="AH25" s="417">
        <v>1033.075</v>
      </c>
      <c r="AI25" s="418">
        <v>815.42800000000079</v>
      </c>
      <c r="AJ25" s="417">
        <v>790</v>
      </c>
      <c r="AK25" s="419">
        <f>AK23+AK24</f>
        <v>1137</v>
      </c>
      <c r="AL25" s="419">
        <v>1202</v>
      </c>
      <c r="AM25" s="419">
        <v>1120</v>
      </c>
      <c r="AN25" s="417">
        <v>1076</v>
      </c>
      <c r="AO25" s="417">
        <v>1239</v>
      </c>
      <c r="AP25" s="417">
        <v>1393</v>
      </c>
      <c r="AQ25" s="420">
        <v>1370</v>
      </c>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row>
    <row r="26" spans="1:77">
      <c r="A26" s="410" t="s">
        <v>20</v>
      </c>
      <c r="B26" s="349" t="s">
        <v>176</v>
      </c>
      <c r="C26" s="349"/>
      <c r="D26" s="411">
        <v>-152.16399999999999</v>
      </c>
      <c r="E26" s="411">
        <v>-183.44399999999999</v>
      </c>
      <c r="F26" s="411">
        <v>-172.14</v>
      </c>
      <c r="G26" s="411">
        <v>-123.738</v>
      </c>
      <c r="H26" s="411">
        <v>-183.53299999999999</v>
      </c>
      <c r="I26" s="411">
        <v>-247.56399999999999</v>
      </c>
      <c r="J26" s="411">
        <v>-228.10900000000001</v>
      </c>
      <c r="K26" s="411">
        <v>-207.22399999999999</v>
      </c>
      <c r="L26" s="411">
        <v>-214.36600000000001</v>
      </c>
      <c r="M26" s="411">
        <v>-255.71799999999999</v>
      </c>
      <c r="N26" s="411">
        <v>-245.16499999999999</v>
      </c>
      <c r="O26" s="411">
        <v>-260.86599999999999</v>
      </c>
      <c r="P26" s="412">
        <v>-249.8</v>
      </c>
      <c r="Q26" s="412">
        <v>-252.6</v>
      </c>
      <c r="R26" s="412">
        <v>-225.4</v>
      </c>
      <c r="S26" s="412">
        <v>-167.8</v>
      </c>
      <c r="T26" s="411">
        <v>-170.511</v>
      </c>
      <c r="U26" s="411">
        <v>-188.274</v>
      </c>
      <c r="V26" s="411">
        <v>-180.494</v>
      </c>
      <c r="W26" s="411">
        <v>-275.83100000000002</v>
      </c>
      <c r="X26" s="411">
        <v>-204.34399999999999</v>
      </c>
      <c r="Y26" s="411">
        <v>-213.262</v>
      </c>
      <c r="Z26" s="411">
        <v>-220.83799999999999</v>
      </c>
      <c r="AA26" s="411">
        <v>-153.303</v>
      </c>
      <c r="AB26" s="411">
        <v>-175.15100000000001</v>
      </c>
      <c r="AC26" s="411">
        <v>-152.67599999999999</v>
      </c>
      <c r="AD26" s="411">
        <v>-193.03100000000001</v>
      </c>
      <c r="AE26" s="411">
        <v>-68.638999999999996</v>
      </c>
      <c r="AF26" s="411">
        <v>-159.76</v>
      </c>
      <c r="AG26" s="411">
        <v>-265.63400000000001</v>
      </c>
      <c r="AH26" s="411">
        <v>-261.24</v>
      </c>
      <c r="AI26" s="412">
        <v>-220.46600000000001</v>
      </c>
      <c r="AJ26" s="411">
        <v>-262</v>
      </c>
      <c r="AK26" s="413">
        <v>-279</v>
      </c>
      <c r="AL26" s="413">
        <v>-300</v>
      </c>
      <c r="AM26" s="413">
        <v>-299</v>
      </c>
      <c r="AN26" s="411">
        <v>-320</v>
      </c>
      <c r="AO26" s="411">
        <v>-306</v>
      </c>
      <c r="AP26" s="411">
        <v>-348</v>
      </c>
      <c r="AQ26" s="414">
        <v>-362</v>
      </c>
    </row>
    <row r="27" spans="1:77" s="23" customFormat="1" ht="27">
      <c r="A27" s="415" t="s">
        <v>21</v>
      </c>
      <c r="B27" s="416" t="s">
        <v>177</v>
      </c>
      <c r="C27" s="416"/>
      <c r="D27" s="417">
        <v>542.995</v>
      </c>
      <c r="E27" s="417">
        <v>616.78399999999999</v>
      </c>
      <c r="F27" s="417">
        <v>642.31799999999998</v>
      </c>
      <c r="G27" s="417">
        <v>509.68700000000001</v>
      </c>
      <c r="H27" s="417">
        <v>719.17100000000005</v>
      </c>
      <c r="I27" s="417">
        <v>781.57</v>
      </c>
      <c r="J27" s="417">
        <v>846.34299999999996</v>
      </c>
      <c r="K27" s="417">
        <v>865.72199999999998</v>
      </c>
      <c r="L27" s="417">
        <v>870.63099999999997</v>
      </c>
      <c r="M27" s="417">
        <v>966.51599999999996</v>
      </c>
      <c r="N27" s="417">
        <v>1016.694</v>
      </c>
      <c r="O27" s="417">
        <v>950.904</v>
      </c>
      <c r="P27" s="418">
        <v>1016.3</v>
      </c>
      <c r="Q27" s="418">
        <f>Q25+Q26</f>
        <v>961.51699999999994</v>
      </c>
      <c r="R27" s="418">
        <f t="shared" ref="R27:S27" si="3">R25+R26</f>
        <v>929.69899999999996</v>
      </c>
      <c r="S27" s="418">
        <f t="shared" si="3"/>
        <v>829.798</v>
      </c>
      <c r="T27" s="417">
        <v>786.245</v>
      </c>
      <c r="U27" s="417">
        <v>752.71199999999999</v>
      </c>
      <c r="V27" s="417">
        <v>752.18200000000002</v>
      </c>
      <c r="W27" s="417">
        <v>937.10599999999999</v>
      </c>
      <c r="X27" s="417">
        <v>798.98099999999999</v>
      </c>
      <c r="Y27" s="417">
        <v>849.63099999999997</v>
      </c>
      <c r="Z27" s="417">
        <v>873.88800000000003</v>
      </c>
      <c r="AA27" s="417">
        <v>720.31600000000003</v>
      </c>
      <c r="AB27" s="417">
        <v>635.76199999999994</v>
      </c>
      <c r="AC27" s="417">
        <v>701.62099999999998</v>
      </c>
      <c r="AD27" s="417">
        <v>815.702</v>
      </c>
      <c r="AE27" s="417">
        <v>448.16800000000001</v>
      </c>
      <c r="AF27" s="417">
        <v>637.96799999999996</v>
      </c>
      <c r="AG27" s="417">
        <v>871.33500000000004</v>
      </c>
      <c r="AH27" s="417">
        <v>771.83500000000004</v>
      </c>
      <c r="AI27" s="418">
        <v>594.96200000000135</v>
      </c>
      <c r="AJ27" s="417">
        <v>528</v>
      </c>
      <c r="AK27" s="419">
        <v>858</v>
      </c>
      <c r="AL27" s="419">
        <v>902</v>
      </c>
      <c r="AM27" s="419">
        <v>821</v>
      </c>
      <c r="AN27" s="417">
        <v>756</v>
      </c>
      <c r="AO27" s="417">
        <v>933</v>
      </c>
      <c r="AP27" s="417">
        <v>1045</v>
      </c>
      <c r="AQ27" s="420">
        <v>1008</v>
      </c>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row>
    <row r="28" spans="1:77" s="10" customFormat="1" ht="27" customHeight="1">
      <c r="A28" s="442" t="s">
        <v>22</v>
      </c>
      <c r="B28" s="443" t="s">
        <v>178</v>
      </c>
      <c r="C28" s="443"/>
      <c r="D28" s="411">
        <v>2.31</v>
      </c>
      <c r="E28" s="411">
        <v>6.9109999999999996</v>
      </c>
      <c r="F28" s="411">
        <v>3.7869999999999999</v>
      </c>
      <c r="G28" s="411">
        <v>-6.7619999999999996</v>
      </c>
      <c r="H28" s="411">
        <v>-0.81799999999999995</v>
      </c>
      <c r="I28" s="411">
        <v>-0.77800000000000002</v>
      </c>
      <c r="J28" s="411">
        <v>-0.50700000000000001</v>
      </c>
      <c r="K28" s="411">
        <v>-1.974</v>
      </c>
      <c r="L28" s="411">
        <v>-0.38500000000000001</v>
      </c>
      <c r="M28" s="411">
        <v>-0.78200000000000003</v>
      </c>
      <c r="N28" s="411">
        <v>-0.33100000000000002</v>
      </c>
      <c r="O28" s="411">
        <v>-0.95199999999999996</v>
      </c>
      <c r="P28" s="412">
        <v>-0.3</v>
      </c>
      <c r="Q28" s="412">
        <v>-0.24199999999999999</v>
      </c>
      <c r="R28" s="412">
        <v>-0.249</v>
      </c>
      <c r="S28" s="412">
        <v>-0.373</v>
      </c>
      <c r="T28" s="411">
        <v>-0.17699999999999999</v>
      </c>
      <c r="U28" s="411">
        <v>-9.7000000000000003E-2</v>
      </c>
      <c r="V28" s="411">
        <v>-0.114</v>
      </c>
      <c r="W28" s="411">
        <v>-1.212</v>
      </c>
      <c r="X28" s="411">
        <v>-3.593</v>
      </c>
      <c r="Y28" s="411">
        <v>-5.923</v>
      </c>
      <c r="Z28" s="411">
        <v>0.51300000000000001</v>
      </c>
      <c r="AA28" s="411">
        <v>-2.3029999999999999</v>
      </c>
      <c r="AB28" s="411">
        <v>-11.419</v>
      </c>
      <c r="AC28" s="411">
        <v>-1.2569999999999999</v>
      </c>
      <c r="AD28" s="411">
        <v>0.45400000000000001</v>
      </c>
      <c r="AE28" s="411">
        <v>3.911</v>
      </c>
      <c r="AF28" s="411">
        <v>-0.622</v>
      </c>
      <c r="AG28" s="411">
        <v>-2.214</v>
      </c>
      <c r="AH28" s="411">
        <v>3.319</v>
      </c>
      <c r="AI28" s="412">
        <v>1.617</v>
      </c>
      <c r="AJ28" s="411">
        <v>3</v>
      </c>
      <c r="AK28" s="413">
        <v>1</v>
      </c>
      <c r="AL28" s="413">
        <v>0</v>
      </c>
      <c r="AM28" s="413">
        <v>1</v>
      </c>
      <c r="AN28" s="411">
        <v>-1</v>
      </c>
      <c r="AO28" s="411">
        <v>0</v>
      </c>
      <c r="AP28" s="411">
        <v>3</v>
      </c>
      <c r="AQ28" s="414">
        <v>-1</v>
      </c>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row>
    <row r="29" spans="1:77" s="8" customFormat="1" ht="27">
      <c r="A29" s="415" t="s">
        <v>23</v>
      </c>
      <c r="B29" s="416" t="s">
        <v>179</v>
      </c>
      <c r="C29" s="416"/>
      <c r="D29" s="417">
        <v>540.68499999999995</v>
      </c>
      <c r="E29" s="417">
        <v>609.87300000000005</v>
      </c>
      <c r="F29" s="417">
        <v>638.53099999999995</v>
      </c>
      <c r="G29" s="417">
        <v>516.44899999999996</v>
      </c>
      <c r="H29" s="417">
        <v>719.98900000000003</v>
      </c>
      <c r="I29" s="417">
        <v>782.34799999999996</v>
      </c>
      <c r="J29" s="417">
        <v>846.85</v>
      </c>
      <c r="K29" s="417">
        <v>867.69600000000003</v>
      </c>
      <c r="L29" s="417">
        <v>871.01599999999996</v>
      </c>
      <c r="M29" s="417">
        <v>967.298</v>
      </c>
      <c r="N29" s="417">
        <v>1017.025</v>
      </c>
      <c r="O29" s="417">
        <v>951.85599999999999</v>
      </c>
      <c r="P29" s="418">
        <v>1016.6</v>
      </c>
      <c r="Q29" s="418">
        <f>Q27-Q28</f>
        <v>961.7589999999999</v>
      </c>
      <c r="R29" s="418">
        <f t="shared" ref="R29:S29" si="4">R27-R28</f>
        <v>929.94799999999998</v>
      </c>
      <c r="S29" s="418">
        <f t="shared" si="4"/>
        <v>830.17100000000005</v>
      </c>
      <c r="T29" s="417">
        <v>786.42200000000003</v>
      </c>
      <c r="U29" s="417">
        <v>752.80899999999997</v>
      </c>
      <c r="V29" s="417">
        <v>752.29600000000005</v>
      </c>
      <c r="W29" s="417">
        <v>938.31799999999998</v>
      </c>
      <c r="X29" s="417">
        <v>802.57399999999996</v>
      </c>
      <c r="Y29" s="417">
        <v>855.55399999999997</v>
      </c>
      <c r="Z29" s="417">
        <v>873.375</v>
      </c>
      <c r="AA29" s="417">
        <v>722.61900000000003</v>
      </c>
      <c r="AB29" s="417">
        <v>647.18100000000004</v>
      </c>
      <c r="AC29" s="417">
        <v>702.87800000000004</v>
      </c>
      <c r="AD29" s="417">
        <v>815.24800000000005</v>
      </c>
      <c r="AE29" s="417">
        <v>444.25700000000001</v>
      </c>
      <c r="AF29" s="417">
        <v>638.59</v>
      </c>
      <c r="AG29" s="417">
        <v>873.54899999999998</v>
      </c>
      <c r="AH29" s="417">
        <v>768.51599999999996</v>
      </c>
      <c r="AI29" s="418">
        <v>593.34500000000128</v>
      </c>
      <c r="AJ29" s="417">
        <v>525</v>
      </c>
      <c r="AK29" s="419">
        <v>857</v>
      </c>
      <c r="AL29" s="419">
        <v>902</v>
      </c>
      <c r="AM29" s="419">
        <v>820</v>
      </c>
      <c r="AN29" s="417">
        <v>757</v>
      </c>
      <c r="AO29" s="417">
        <v>933</v>
      </c>
      <c r="AP29" s="417">
        <v>1042</v>
      </c>
      <c r="AQ29" s="420">
        <v>1009</v>
      </c>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row>
    <row r="30" spans="1:77" ht="56.25">
      <c r="A30" s="1294" t="s">
        <v>866</v>
      </c>
      <c r="B30" s="1295" t="s">
        <v>867</v>
      </c>
      <c r="C30" s="1295"/>
      <c r="D30" s="129"/>
      <c r="E30" s="129"/>
      <c r="F30" s="129"/>
      <c r="G30" s="129"/>
      <c r="H30" s="129"/>
      <c r="I30" s="129"/>
      <c r="J30" s="129"/>
    </row>
    <row r="31" spans="1:77" s="61" customFormat="1" ht="12">
      <c r="A31" s="296"/>
      <c r="B31" s="296"/>
      <c r="C31" s="296"/>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row>
    <row r="32" spans="1:77" s="61" customFormat="1" ht="12">
      <c r="A32" s="296"/>
      <c r="B32" s="296"/>
      <c r="C32" s="296"/>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row>
    <row r="33" spans="1:77">
      <c r="A33" s="150"/>
      <c r="B33" s="150"/>
      <c r="C33" s="150"/>
      <c r="D33" s="150"/>
      <c r="E33" s="150"/>
      <c r="F33" s="150"/>
      <c r="G33" s="150"/>
      <c r="H33" s="150"/>
      <c r="I33" s="150"/>
      <c r="J33" s="150"/>
      <c r="K33" s="150"/>
      <c r="L33" s="150"/>
      <c r="M33" s="150"/>
      <c r="N33" s="150"/>
      <c r="O33" s="150"/>
      <c r="P33" s="150"/>
      <c r="Q33" s="150"/>
      <c r="R33" s="150"/>
      <c r="S33" s="295"/>
      <c r="T33" s="295"/>
      <c r="U33" s="295"/>
      <c r="V33" s="150"/>
      <c r="W33" s="150"/>
      <c r="X33" s="150"/>
      <c r="Y33" s="150"/>
      <c r="Z33" s="150"/>
      <c r="AA33" s="150"/>
      <c r="AB33" s="150"/>
      <c r="AC33" s="150"/>
      <c r="AD33" s="145"/>
      <c r="AE33" s="150"/>
      <c r="AF33" s="154"/>
      <c r="AG33" s="154"/>
      <c r="AH33" s="155"/>
      <c r="AI33" s="155"/>
      <c r="AJ33" s="155"/>
      <c r="AK33" s="155"/>
      <c r="AL33" s="155"/>
      <c r="AM33" s="155"/>
      <c r="AN33" s="155"/>
      <c r="AO33" s="155"/>
      <c r="AP33" s="155"/>
      <c r="AQ33" s="155"/>
    </row>
    <row r="34" spans="1:77">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45"/>
      <c r="AE34" s="150"/>
      <c r="AF34" s="154"/>
      <c r="AG34" s="154"/>
      <c r="AH34" s="155"/>
      <c r="AI34" s="155"/>
      <c r="AJ34" s="155"/>
      <c r="AK34" s="155"/>
      <c r="AL34" s="155"/>
      <c r="AM34" s="155"/>
      <c r="AN34" s="155"/>
      <c r="AO34" s="155"/>
      <c r="AP34" s="155"/>
      <c r="AQ34" s="155"/>
    </row>
    <row r="35" spans="1:77">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45"/>
      <c r="AE35" s="150"/>
      <c r="AF35" s="154"/>
      <c r="AG35" s="154"/>
      <c r="AH35" s="155"/>
      <c r="AI35" s="155"/>
      <c r="AJ35" s="155"/>
      <c r="AK35" s="155"/>
      <c r="AL35" s="154"/>
      <c r="AM35" s="155"/>
      <c r="AN35" s="155"/>
      <c r="AO35" s="155"/>
      <c r="AP35" s="155"/>
      <c r="AQ35" s="155"/>
    </row>
    <row r="36" spans="1:77">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45"/>
      <c r="AE36" s="150"/>
      <c r="AF36" s="154"/>
      <c r="AG36" s="154"/>
      <c r="AH36" s="155"/>
      <c r="AI36" s="155"/>
      <c r="AJ36" s="155"/>
      <c r="AK36" s="155"/>
      <c r="AL36" s="154"/>
      <c r="AM36" s="154"/>
      <c r="AN36" s="155"/>
      <c r="AO36" s="155"/>
      <c r="AP36" s="155"/>
      <c r="AQ36" s="155"/>
    </row>
    <row r="37" spans="1:77">
      <c r="A37" s="150"/>
      <c r="B37" s="150"/>
      <c r="C37" s="150"/>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0"/>
      <c r="AD37" s="145"/>
      <c r="AE37" s="150"/>
      <c r="AF37" s="154"/>
      <c r="AG37" s="154"/>
      <c r="AH37" s="155"/>
      <c r="AI37" s="155"/>
      <c r="AJ37" s="155"/>
      <c r="AK37" s="155"/>
      <c r="AL37" s="154"/>
      <c r="AM37" s="154"/>
      <c r="AN37" s="155"/>
      <c r="AO37" s="155"/>
      <c r="AP37" s="155"/>
      <c r="AQ37" s="155"/>
    </row>
    <row r="38" spans="1:77">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45"/>
      <c r="AE38" s="150"/>
      <c r="AF38" s="154"/>
      <c r="AG38" s="154"/>
      <c r="AH38" s="155"/>
      <c r="AI38" s="155"/>
      <c r="AJ38" s="155"/>
      <c r="AK38" s="155"/>
      <c r="AL38" s="155"/>
      <c r="AM38" s="154"/>
      <c r="AN38" s="155"/>
      <c r="AO38" s="155"/>
      <c r="AP38" s="155"/>
      <c r="AQ38" s="155"/>
    </row>
    <row r="39" spans="1:77">
      <c r="A39" s="150"/>
      <c r="B39" s="150"/>
      <c r="C39" s="150"/>
      <c r="D39" s="150"/>
      <c r="E39" s="150"/>
      <c r="F39" s="150"/>
      <c r="G39" s="150"/>
      <c r="H39" s="150"/>
      <c r="I39" s="150"/>
      <c r="J39" s="150"/>
      <c r="K39" s="150"/>
      <c r="L39" s="156"/>
      <c r="M39" s="156"/>
      <c r="N39" s="156"/>
      <c r="O39" s="156"/>
      <c r="P39" s="156"/>
      <c r="Q39" s="156"/>
      <c r="R39" s="156"/>
      <c r="S39" s="156"/>
      <c r="T39" s="150"/>
      <c r="U39" s="150"/>
      <c r="V39" s="150"/>
      <c r="W39" s="150"/>
      <c r="X39" s="150"/>
      <c r="Y39" s="150"/>
      <c r="Z39" s="150"/>
      <c r="AA39" s="150"/>
      <c r="AB39" s="150"/>
      <c r="AC39" s="150"/>
      <c r="AD39" s="145"/>
      <c r="AE39" s="150"/>
      <c r="AF39" s="154"/>
      <c r="AG39" s="154"/>
      <c r="AH39" s="155"/>
      <c r="AI39" s="155"/>
      <c r="AJ39" s="155"/>
      <c r="AK39" s="155"/>
      <c r="AL39" s="155"/>
      <c r="AM39" s="155"/>
      <c r="AN39" s="155"/>
      <c r="AO39" s="155"/>
      <c r="AP39" s="155"/>
      <c r="AQ39" s="155"/>
    </row>
    <row r="40" spans="1:77">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45"/>
      <c r="AE40" s="150"/>
      <c r="AF40" s="154"/>
      <c r="AG40" s="154"/>
      <c r="AH40" s="155"/>
      <c r="AI40" s="155"/>
      <c r="AJ40" s="155"/>
      <c r="AK40" s="155"/>
      <c r="AL40" s="155"/>
      <c r="AM40" s="155"/>
      <c r="AN40" s="155"/>
      <c r="AO40" s="155"/>
      <c r="AP40" s="155"/>
      <c r="AQ40" s="155"/>
    </row>
    <row r="41" spans="1:77">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45"/>
      <c r="AE41" s="150"/>
      <c r="AF41" s="154"/>
      <c r="AG41" s="154"/>
      <c r="AH41" s="155"/>
      <c r="AI41" s="155"/>
      <c r="AJ41" s="155"/>
      <c r="AK41" s="155"/>
      <c r="AL41" s="155"/>
      <c r="AM41" s="155"/>
      <c r="AN41" s="155"/>
      <c r="AO41" s="155"/>
      <c r="AP41" s="155"/>
      <c r="AQ41" s="155"/>
    </row>
    <row r="42" spans="1:77">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45"/>
      <c r="AE42" s="150"/>
      <c r="AF42" s="154"/>
      <c r="AG42" s="154"/>
      <c r="AH42" s="155"/>
      <c r="AI42" s="155"/>
      <c r="AJ42" s="155"/>
      <c r="AK42" s="155"/>
      <c r="AL42" s="155"/>
      <c r="AM42" s="155"/>
      <c r="AN42" s="155"/>
      <c r="AO42" s="155"/>
      <c r="AP42" s="155"/>
      <c r="AQ42" s="155"/>
    </row>
    <row r="43" spans="1:77">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45"/>
      <c r="AE43" s="150"/>
      <c r="AF43" s="154"/>
      <c r="AG43" s="154"/>
      <c r="AH43" s="155"/>
      <c r="AI43" s="155"/>
      <c r="AJ43" s="155"/>
      <c r="AK43" s="155"/>
      <c r="AL43" s="155"/>
      <c r="AM43" s="155"/>
      <c r="AN43" s="155"/>
      <c r="AO43" s="155"/>
      <c r="AP43" s="155"/>
      <c r="AQ43" s="155"/>
    </row>
    <row r="44" spans="1:77" s="10" customFormat="1">
      <c r="A44" s="157"/>
      <c r="B44" s="157"/>
      <c r="C44" s="157"/>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4"/>
      <c r="AG44" s="154"/>
      <c r="AH44" s="154"/>
      <c r="AI44" s="154"/>
      <c r="AJ44" s="154"/>
      <c r="AK44" s="154"/>
      <c r="AL44" s="155"/>
      <c r="AM44" s="155"/>
      <c r="AN44" s="154"/>
      <c r="AO44" s="154"/>
      <c r="AP44" s="154"/>
      <c r="AQ44" s="154"/>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row>
    <row r="45" spans="1:77" s="10" customFormat="1">
      <c r="A45" s="158"/>
      <c r="B45" s="158"/>
      <c r="C45" s="158"/>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4"/>
      <c r="AG45" s="154"/>
      <c r="AH45" s="154"/>
      <c r="AI45" s="154"/>
      <c r="AJ45" s="154"/>
      <c r="AK45" s="154"/>
      <c r="AL45" s="155"/>
      <c r="AM45" s="155"/>
      <c r="AN45" s="154"/>
      <c r="AO45" s="154"/>
      <c r="AP45" s="154"/>
      <c r="AQ45" s="154"/>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row>
    <row r="46" spans="1:77" s="10" customFormat="1">
      <c r="A46" s="159"/>
      <c r="B46" s="159"/>
      <c r="C46" s="159"/>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4"/>
      <c r="AG46" s="154"/>
      <c r="AH46" s="154"/>
      <c r="AI46" s="154"/>
      <c r="AJ46" s="154"/>
      <c r="AK46" s="154"/>
      <c r="AL46" s="155"/>
      <c r="AM46" s="155"/>
      <c r="AN46" s="154"/>
      <c r="AO46" s="154"/>
      <c r="AP46" s="154"/>
      <c r="AQ46" s="154"/>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row>
    <row r="47" spans="1:77" ht="13.5" customHeight="1">
      <c r="A47" s="160"/>
      <c r="B47" s="160"/>
      <c r="C47" s="16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45"/>
      <c r="AE47" s="150"/>
      <c r="AF47" s="154"/>
      <c r="AG47" s="154"/>
      <c r="AH47" s="155"/>
      <c r="AI47" s="155"/>
      <c r="AJ47" s="155"/>
      <c r="AK47" s="155"/>
      <c r="AL47" s="155"/>
      <c r="AM47" s="155"/>
      <c r="AN47" s="155"/>
      <c r="AO47" s="155"/>
      <c r="AP47" s="155"/>
      <c r="AQ47" s="155"/>
    </row>
    <row r="48" spans="1:77" ht="13.5" customHeight="1">
      <c r="A48" s="160"/>
      <c r="B48" s="160"/>
      <c r="C48" s="16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45"/>
      <c r="AE48" s="150"/>
      <c r="AF48" s="154"/>
      <c r="AG48" s="154"/>
      <c r="AH48" s="155"/>
      <c r="AI48" s="155"/>
      <c r="AJ48" s="155"/>
      <c r="AK48" s="155"/>
      <c r="AL48" s="155"/>
      <c r="AM48" s="155"/>
      <c r="AN48" s="155"/>
      <c r="AO48" s="155"/>
      <c r="AP48" s="155"/>
      <c r="AQ48" s="155"/>
    </row>
    <row r="49" spans="1:43" ht="13.5" customHeight="1">
      <c r="A49" s="160"/>
      <c r="B49" s="160"/>
      <c r="C49" s="16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45"/>
      <c r="AE49" s="150"/>
      <c r="AF49" s="154"/>
      <c r="AG49" s="154"/>
      <c r="AH49" s="155"/>
      <c r="AI49" s="155"/>
      <c r="AJ49" s="155"/>
      <c r="AK49" s="155"/>
      <c r="AL49" s="155"/>
      <c r="AM49" s="155"/>
      <c r="AN49" s="155"/>
      <c r="AO49" s="155"/>
      <c r="AP49" s="155"/>
      <c r="AQ49" s="155"/>
    </row>
    <row r="50" spans="1:43" ht="13.5" customHeight="1">
      <c r="A50" s="160"/>
      <c r="B50" s="160"/>
      <c r="C50" s="16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45"/>
      <c r="AE50" s="150"/>
      <c r="AF50" s="154"/>
      <c r="AG50" s="154"/>
      <c r="AH50" s="155"/>
      <c r="AI50" s="155"/>
      <c r="AJ50" s="155"/>
      <c r="AK50" s="155"/>
      <c r="AL50" s="155"/>
      <c r="AM50" s="155"/>
      <c r="AN50" s="155"/>
      <c r="AO50" s="155"/>
      <c r="AP50" s="155"/>
      <c r="AQ50" s="155"/>
    </row>
    <row r="51" spans="1:43" ht="13.5" customHeight="1">
      <c r="A51" s="160"/>
      <c r="B51" s="160"/>
      <c r="C51" s="16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45"/>
      <c r="AE51" s="150"/>
      <c r="AF51" s="154"/>
      <c r="AG51" s="154"/>
      <c r="AH51" s="155"/>
      <c r="AI51" s="155"/>
      <c r="AJ51" s="155"/>
      <c r="AK51" s="155"/>
      <c r="AL51" s="155"/>
      <c r="AM51" s="155"/>
      <c r="AN51" s="155"/>
      <c r="AO51" s="155"/>
      <c r="AP51" s="155"/>
      <c r="AQ51" s="155"/>
    </row>
    <row r="52" spans="1:43" ht="13.5" customHeight="1">
      <c r="A52" s="160"/>
      <c r="B52" s="160"/>
      <c r="C52" s="16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5"/>
      <c r="AE52" s="150"/>
      <c r="AF52" s="154"/>
      <c r="AG52" s="154"/>
      <c r="AH52" s="155"/>
      <c r="AI52" s="155"/>
      <c r="AJ52" s="155"/>
      <c r="AK52" s="155"/>
      <c r="AL52" s="155"/>
      <c r="AM52" s="155"/>
      <c r="AN52" s="155"/>
      <c r="AO52" s="155"/>
      <c r="AP52" s="155"/>
      <c r="AQ52" s="155"/>
    </row>
    <row r="53" spans="1:43" ht="13.5" customHeight="1">
      <c r="A53" s="160"/>
      <c r="B53" s="160"/>
      <c r="C53" s="16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45"/>
      <c r="AE53" s="150"/>
      <c r="AF53" s="154"/>
      <c r="AG53" s="154"/>
      <c r="AH53" s="155"/>
      <c r="AI53" s="155"/>
      <c r="AJ53" s="155"/>
      <c r="AK53" s="155"/>
      <c r="AL53" s="155"/>
      <c r="AM53" s="155"/>
      <c r="AN53" s="155"/>
      <c r="AO53" s="155"/>
      <c r="AP53" s="155"/>
      <c r="AQ53" s="155"/>
    </row>
    <row r="54" spans="1:43" ht="13.5" customHeight="1">
      <c r="A54" s="160"/>
      <c r="B54" s="160"/>
      <c r="C54" s="16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45"/>
      <c r="AE54" s="150"/>
      <c r="AF54" s="154"/>
      <c r="AG54" s="154"/>
      <c r="AH54" s="155"/>
      <c r="AI54" s="155"/>
      <c r="AJ54" s="155"/>
      <c r="AK54" s="155"/>
      <c r="AL54" s="155"/>
      <c r="AM54" s="155"/>
      <c r="AN54" s="155"/>
      <c r="AO54" s="155"/>
      <c r="AP54" s="155"/>
      <c r="AQ54" s="155"/>
    </row>
    <row r="55" spans="1:43" ht="13.5" customHeight="1">
      <c r="A55" s="160"/>
      <c r="B55" s="160"/>
      <c r="C55" s="16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45"/>
      <c r="AE55" s="150"/>
      <c r="AF55" s="154"/>
      <c r="AG55" s="154"/>
      <c r="AH55" s="155"/>
      <c r="AI55" s="155"/>
      <c r="AJ55" s="155"/>
      <c r="AK55" s="155"/>
      <c r="AL55" s="155"/>
      <c r="AM55" s="155"/>
      <c r="AN55" s="155"/>
      <c r="AO55" s="155"/>
      <c r="AP55" s="155"/>
      <c r="AQ55" s="155"/>
    </row>
    <row r="56" spans="1:43" ht="13.5" customHeight="1">
      <c r="A56" s="160"/>
      <c r="B56" s="160"/>
      <c r="C56" s="16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45"/>
      <c r="AE56" s="150"/>
      <c r="AF56" s="154"/>
      <c r="AG56" s="154"/>
      <c r="AH56" s="155"/>
      <c r="AI56" s="155"/>
      <c r="AJ56" s="155"/>
      <c r="AK56" s="155"/>
      <c r="AL56" s="155"/>
      <c r="AM56" s="155"/>
      <c r="AN56" s="155"/>
      <c r="AO56" s="155"/>
      <c r="AP56" s="155"/>
      <c r="AQ56" s="155"/>
    </row>
    <row r="57" spans="1:43" ht="13.5" customHeight="1">
      <c r="A57" s="160"/>
      <c r="B57" s="160"/>
      <c r="C57" s="16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45"/>
      <c r="AE57" s="150"/>
      <c r="AF57" s="154"/>
      <c r="AG57" s="154"/>
      <c r="AH57" s="155"/>
      <c r="AI57" s="155"/>
      <c r="AJ57" s="155"/>
      <c r="AK57" s="155"/>
      <c r="AL57" s="155"/>
      <c r="AM57" s="155"/>
      <c r="AN57" s="155"/>
      <c r="AO57" s="155"/>
      <c r="AP57" s="155"/>
      <c r="AQ57" s="155"/>
    </row>
    <row r="58" spans="1:43" ht="13.5" customHeight="1">
      <c r="A58" s="160"/>
      <c r="B58" s="160"/>
      <c r="C58" s="16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45"/>
      <c r="AE58" s="150"/>
      <c r="AF58" s="154"/>
      <c r="AG58" s="154"/>
      <c r="AH58" s="155"/>
      <c r="AI58" s="155"/>
      <c r="AJ58" s="155"/>
      <c r="AK58" s="155"/>
      <c r="AL58" s="155"/>
      <c r="AM58" s="155"/>
      <c r="AN58" s="155"/>
      <c r="AO58" s="155"/>
      <c r="AP58" s="155"/>
      <c r="AQ58" s="155"/>
    </row>
    <row r="59" spans="1:43" ht="13.5" customHeight="1">
      <c r="A59" s="160"/>
      <c r="B59" s="160"/>
      <c r="C59" s="16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45"/>
      <c r="AE59" s="150"/>
      <c r="AF59" s="154"/>
      <c r="AG59" s="154"/>
      <c r="AH59" s="155"/>
      <c r="AI59" s="155"/>
      <c r="AJ59" s="155"/>
      <c r="AK59" s="155"/>
      <c r="AL59" s="155"/>
      <c r="AM59" s="155"/>
      <c r="AN59" s="155"/>
      <c r="AO59" s="155"/>
      <c r="AP59" s="155"/>
      <c r="AQ59" s="155"/>
    </row>
    <row r="60" spans="1:43" ht="13.5" customHeight="1">
      <c r="A60" s="160"/>
      <c r="B60" s="160"/>
      <c r="C60" s="16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45"/>
      <c r="AE60" s="150"/>
      <c r="AF60" s="154"/>
      <c r="AG60" s="154"/>
      <c r="AH60" s="155"/>
      <c r="AI60" s="155"/>
      <c r="AJ60" s="155"/>
      <c r="AK60" s="155"/>
      <c r="AL60" s="155"/>
      <c r="AM60" s="155"/>
      <c r="AN60" s="155"/>
      <c r="AO60" s="155"/>
      <c r="AP60" s="155"/>
      <c r="AQ60" s="155"/>
    </row>
    <row r="61" spans="1:43" ht="13.5" customHeight="1">
      <c r="A61" s="160"/>
      <c r="B61" s="160"/>
      <c r="C61" s="16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45"/>
      <c r="AE61" s="150"/>
      <c r="AF61" s="154"/>
      <c r="AG61" s="154"/>
      <c r="AH61" s="155"/>
      <c r="AI61" s="155"/>
      <c r="AJ61" s="155"/>
      <c r="AK61" s="155"/>
      <c r="AL61" s="155"/>
      <c r="AM61" s="155"/>
      <c r="AN61" s="155"/>
      <c r="AO61" s="155"/>
      <c r="AP61" s="155"/>
      <c r="AQ61" s="155"/>
    </row>
    <row r="62" spans="1:43" ht="13.5" customHeight="1">
      <c r="A62" s="160"/>
      <c r="B62" s="160"/>
      <c r="C62" s="16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45"/>
      <c r="AE62" s="150"/>
      <c r="AF62" s="154"/>
      <c r="AG62" s="154"/>
      <c r="AH62" s="155"/>
      <c r="AI62" s="155"/>
      <c r="AJ62" s="155"/>
      <c r="AK62" s="155"/>
      <c r="AL62" s="155"/>
      <c r="AM62" s="155"/>
      <c r="AN62" s="155"/>
      <c r="AO62" s="155"/>
      <c r="AP62" s="155"/>
      <c r="AQ62" s="155"/>
    </row>
    <row r="63" spans="1:43" ht="13.5" customHeight="1">
      <c r="A63" s="160"/>
      <c r="B63" s="160"/>
      <c r="C63" s="16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45"/>
      <c r="AE63" s="150"/>
      <c r="AF63" s="154"/>
      <c r="AG63" s="154"/>
      <c r="AH63" s="155"/>
      <c r="AI63" s="155"/>
      <c r="AJ63" s="155"/>
      <c r="AK63" s="155"/>
      <c r="AL63" s="155"/>
      <c r="AM63" s="155"/>
      <c r="AN63" s="155"/>
      <c r="AO63" s="155"/>
      <c r="AP63" s="155"/>
      <c r="AQ63" s="155"/>
    </row>
    <row r="64" spans="1:43" ht="13.5" customHeight="1">
      <c r="A64" s="160"/>
      <c r="B64" s="160"/>
      <c r="C64" s="16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45"/>
      <c r="AE64" s="150"/>
      <c r="AF64" s="154"/>
      <c r="AG64" s="154"/>
      <c r="AH64" s="155"/>
      <c r="AI64" s="155"/>
      <c r="AJ64" s="155"/>
      <c r="AK64" s="155"/>
      <c r="AL64" s="155"/>
      <c r="AM64" s="155"/>
      <c r="AN64" s="155"/>
      <c r="AO64" s="155"/>
      <c r="AP64" s="155"/>
      <c r="AQ64" s="155"/>
    </row>
    <row r="65" spans="1:43" ht="13.5" customHeight="1">
      <c r="A65" s="160"/>
      <c r="B65" s="160"/>
      <c r="C65" s="16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45"/>
      <c r="AE65" s="150"/>
      <c r="AF65" s="154"/>
      <c r="AG65" s="154"/>
      <c r="AH65" s="155"/>
      <c r="AI65" s="155"/>
      <c r="AJ65" s="155"/>
      <c r="AK65" s="155"/>
      <c r="AL65" s="155"/>
      <c r="AM65" s="155"/>
      <c r="AN65" s="155"/>
      <c r="AO65" s="155"/>
      <c r="AP65" s="155"/>
      <c r="AQ65" s="155"/>
    </row>
    <row r="66" spans="1:43" ht="13.5" customHeight="1">
      <c r="A66" s="160"/>
      <c r="B66" s="160"/>
      <c r="C66" s="16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45"/>
      <c r="AE66" s="150"/>
      <c r="AF66" s="154"/>
      <c r="AG66" s="154"/>
      <c r="AH66" s="155"/>
      <c r="AI66" s="155"/>
      <c r="AJ66" s="155"/>
      <c r="AK66" s="155"/>
      <c r="AL66" s="155"/>
      <c r="AM66" s="155"/>
      <c r="AN66" s="155"/>
      <c r="AO66" s="155"/>
      <c r="AP66" s="155"/>
      <c r="AQ66" s="155"/>
    </row>
    <row r="67" spans="1:43" ht="13.5" customHeight="1">
      <c r="A67" s="160"/>
      <c r="B67" s="160"/>
      <c r="C67" s="16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45"/>
      <c r="AE67" s="150"/>
      <c r="AF67" s="154"/>
      <c r="AG67" s="154"/>
      <c r="AH67" s="155"/>
      <c r="AI67" s="155"/>
      <c r="AJ67" s="155"/>
      <c r="AK67" s="155"/>
      <c r="AL67" s="155"/>
      <c r="AM67" s="155"/>
      <c r="AN67" s="155"/>
      <c r="AO67" s="155"/>
      <c r="AP67" s="155"/>
      <c r="AQ67" s="155"/>
    </row>
    <row r="68" spans="1:43" ht="13.5" customHeight="1">
      <c r="A68" s="160"/>
      <c r="B68" s="160"/>
      <c r="C68" s="16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45"/>
      <c r="AE68" s="150"/>
      <c r="AF68" s="154"/>
      <c r="AG68" s="154"/>
      <c r="AH68" s="155"/>
      <c r="AI68" s="155"/>
      <c r="AJ68" s="155"/>
      <c r="AK68" s="155"/>
      <c r="AL68" s="155"/>
      <c r="AM68" s="155"/>
      <c r="AN68" s="155"/>
      <c r="AO68" s="155"/>
      <c r="AP68" s="155"/>
      <c r="AQ68" s="155"/>
    </row>
    <row r="69" spans="1:43" ht="13.5" customHeight="1">
      <c r="A69" s="160"/>
      <c r="B69" s="160"/>
      <c r="C69" s="16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45"/>
      <c r="AE69" s="150"/>
      <c r="AF69" s="154"/>
      <c r="AG69" s="154"/>
      <c r="AH69" s="155"/>
      <c r="AI69" s="155"/>
      <c r="AJ69" s="155"/>
      <c r="AK69" s="155"/>
      <c r="AL69" s="155"/>
      <c r="AM69" s="155"/>
      <c r="AN69" s="155"/>
      <c r="AO69" s="155"/>
      <c r="AP69" s="155"/>
      <c r="AQ69" s="155"/>
    </row>
    <row r="70" spans="1:43" ht="13.5" customHeight="1">
      <c r="A70" s="160"/>
      <c r="B70" s="160"/>
      <c r="C70" s="16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45"/>
      <c r="AE70" s="150"/>
      <c r="AF70" s="154"/>
      <c r="AG70" s="154"/>
      <c r="AH70" s="155"/>
      <c r="AI70" s="155"/>
      <c r="AJ70" s="155"/>
      <c r="AK70" s="155"/>
      <c r="AL70" s="155"/>
      <c r="AM70" s="155"/>
      <c r="AN70" s="155"/>
      <c r="AO70" s="155"/>
      <c r="AP70" s="155"/>
      <c r="AQ70" s="155"/>
    </row>
    <row r="71" spans="1:43" ht="13.5" customHeight="1">
      <c r="A71" s="160"/>
      <c r="B71" s="160"/>
      <c r="C71" s="16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45"/>
      <c r="AE71" s="150"/>
      <c r="AF71" s="154"/>
      <c r="AG71" s="154"/>
      <c r="AH71" s="155"/>
      <c r="AI71" s="155"/>
      <c r="AJ71" s="155"/>
      <c r="AK71" s="155"/>
      <c r="AL71" s="155"/>
      <c r="AM71" s="155"/>
      <c r="AN71" s="155"/>
      <c r="AO71" s="155"/>
      <c r="AP71" s="155"/>
      <c r="AQ71" s="155"/>
    </row>
    <row r="72" spans="1:43" ht="13.5" customHeight="1">
      <c r="A72" s="160"/>
      <c r="B72" s="160"/>
      <c r="C72" s="16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45"/>
      <c r="AE72" s="150"/>
      <c r="AF72" s="154"/>
      <c r="AG72" s="154"/>
      <c r="AH72" s="155"/>
      <c r="AI72" s="155"/>
      <c r="AJ72" s="155"/>
      <c r="AK72" s="155"/>
      <c r="AL72" s="155"/>
      <c r="AM72" s="155"/>
      <c r="AN72" s="155"/>
      <c r="AO72" s="155"/>
      <c r="AP72" s="155"/>
      <c r="AQ72" s="155"/>
    </row>
    <row r="73" spans="1:43" ht="13.5" customHeight="1">
      <c r="A73" s="160"/>
      <c r="B73" s="160"/>
      <c r="C73" s="16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45"/>
      <c r="AE73" s="150"/>
      <c r="AF73" s="154"/>
      <c r="AG73" s="154"/>
      <c r="AH73" s="155"/>
      <c r="AI73" s="155"/>
      <c r="AJ73" s="155"/>
      <c r="AK73" s="155"/>
      <c r="AL73" s="155"/>
      <c r="AM73" s="155"/>
      <c r="AN73" s="155"/>
      <c r="AO73" s="155"/>
      <c r="AP73" s="155"/>
      <c r="AQ73" s="155"/>
    </row>
    <row r="74" spans="1:43" ht="13.5" customHeight="1">
      <c r="A74" s="160"/>
      <c r="B74" s="160"/>
      <c r="C74" s="16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45"/>
      <c r="AE74" s="150"/>
      <c r="AF74" s="154"/>
      <c r="AG74" s="154"/>
      <c r="AH74" s="155"/>
      <c r="AI74" s="155"/>
      <c r="AJ74" s="155"/>
      <c r="AK74" s="155"/>
      <c r="AL74" s="155"/>
      <c r="AM74" s="155"/>
      <c r="AN74" s="155"/>
      <c r="AO74" s="155"/>
      <c r="AP74" s="155"/>
      <c r="AQ74" s="155"/>
    </row>
    <row r="75" spans="1:43" ht="13.5" customHeight="1">
      <c r="A75" s="160"/>
      <c r="B75" s="160"/>
      <c r="C75" s="16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45"/>
      <c r="AE75" s="150"/>
      <c r="AF75" s="154"/>
      <c r="AG75" s="154"/>
      <c r="AH75" s="155"/>
      <c r="AI75" s="155"/>
      <c r="AJ75" s="155"/>
      <c r="AK75" s="155"/>
      <c r="AL75" s="155"/>
      <c r="AM75" s="155"/>
      <c r="AN75" s="155"/>
      <c r="AO75" s="155"/>
      <c r="AP75" s="155"/>
      <c r="AQ75" s="155"/>
    </row>
    <row r="76" spans="1:43" ht="13.5" customHeight="1">
      <c r="A76" s="160"/>
      <c r="B76" s="160"/>
      <c r="C76" s="16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45"/>
      <c r="AE76" s="150"/>
      <c r="AF76" s="154"/>
      <c r="AG76" s="154"/>
      <c r="AH76" s="155"/>
      <c r="AI76" s="155"/>
      <c r="AJ76" s="155"/>
      <c r="AK76" s="155"/>
      <c r="AL76" s="155"/>
      <c r="AM76" s="155"/>
      <c r="AN76" s="155"/>
      <c r="AO76" s="155"/>
      <c r="AP76" s="155"/>
      <c r="AQ76" s="155"/>
    </row>
    <row r="77" spans="1:43" ht="13.5" customHeight="1">
      <c r="A77" s="160"/>
      <c r="B77" s="160"/>
      <c r="C77" s="16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45"/>
      <c r="AE77" s="150"/>
      <c r="AF77" s="154"/>
      <c r="AG77" s="154"/>
      <c r="AH77" s="155"/>
      <c r="AI77" s="155"/>
      <c r="AJ77" s="155"/>
      <c r="AK77" s="155"/>
      <c r="AL77" s="155"/>
      <c r="AM77" s="155"/>
      <c r="AN77" s="155"/>
      <c r="AO77" s="155"/>
      <c r="AP77" s="155"/>
      <c r="AQ77" s="155"/>
    </row>
    <row r="78" spans="1:43" ht="13.5" customHeight="1">
      <c r="A78" s="160"/>
      <c r="B78" s="160"/>
      <c r="C78" s="16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45"/>
      <c r="AE78" s="150"/>
      <c r="AF78" s="154"/>
      <c r="AG78" s="154"/>
      <c r="AH78" s="155"/>
      <c r="AI78" s="155"/>
      <c r="AJ78" s="155"/>
      <c r="AK78" s="155"/>
      <c r="AL78" s="155"/>
      <c r="AM78" s="155"/>
      <c r="AN78" s="155"/>
      <c r="AO78" s="155"/>
      <c r="AP78" s="155"/>
      <c r="AQ78" s="155"/>
    </row>
    <row r="79" spans="1:43" ht="13.5" customHeight="1">
      <c r="A79" s="160"/>
      <c r="B79" s="160"/>
      <c r="C79" s="16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45"/>
      <c r="AE79" s="150"/>
      <c r="AF79" s="154"/>
      <c r="AG79" s="154"/>
      <c r="AH79" s="155"/>
      <c r="AI79" s="155"/>
      <c r="AJ79" s="155"/>
      <c r="AK79" s="155"/>
      <c r="AL79" s="155"/>
      <c r="AM79" s="155"/>
      <c r="AN79" s="155"/>
      <c r="AO79" s="155"/>
      <c r="AP79" s="155"/>
      <c r="AQ79" s="155"/>
    </row>
    <row r="80" spans="1:43" ht="13.5" customHeight="1">
      <c r="A80" s="160"/>
      <c r="B80" s="160"/>
      <c r="C80" s="16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45"/>
      <c r="AE80" s="150"/>
      <c r="AF80" s="154"/>
      <c r="AG80" s="154"/>
      <c r="AH80" s="155"/>
      <c r="AI80" s="155"/>
      <c r="AJ80" s="155"/>
      <c r="AK80" s="155"/>
      <c r="AL80" s="155"/>
      <c r="AM80" s="155"/>
      <c r="AN80" s="155"/>
      <c r="AO80" s="155"/>
      <c r="AP80" s="155"/>
      <c r="AQ80" s="155"/>
    </row>
    <row r="81" spans="1:43" ht="13.5" customHeight="1">
      <c r="A81" s="160"/>
      <c r="B81" s="160"/>
      <c r="C81" s="16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45"/>
      <c r="AE81" s="150"/>
      <c r="AF81" s="154"/>
      <c r="AG81" s="154"/>
      <c r="AH81" s="155"/>
      <c r="AI81" s="155"/>
      <c r="AJ81" s="155"/>
      <c r="AK81" s="155"/>
      <c r="AL81" s="155"/>
      <c r="AM81" s="155"/>
      <c r="AN81" s="155"/>
      <c r="AO81" s="155"/>
      <c r="AP81" s="155"/>
      <c r="AQ81" s="155"/>
    </row>
    <row r="82" spans="1:43" ht="13.5" customHeight="1">
      <c r="A82" s="160"/>
      <c r="B82" s="160"/>
      <c r="C82" s="16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45"/>
      <c r="AE82" s="150"/>
      <c r="AF82" s="154"/>
      <c r="AG82" s="154"/>
      <c r="AH82" s="155"/>
      <c r="AI82" s="155"/>
      <c r="AJ82" s="155"/>
      <c r="AK82" s="155"/>
      <c r="AL82" s="155"/>
      <c r="AM82" s="155"/>
      <c r="AN82" s="155"/>
      <c r="AO82" s="155"/>
      <c r="AP82" s="155"/>
      <c r="AQ82" s="155"/>
    </row>
    <row r="83" spans="1:43" ht="13.5" customHeight="1">
      <c r="A83" s="160"/>
      <c r="B83" s="160"/>
      <c r="C83" s="16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45"/>
      <c r="AE83" s="150"/>
      <c r="AF83" s="154"/>
      <c r="AG83" s="154"/>
      <c r="AH83" s="155"/>
      <c r="AI83" s="155"/>
      <c r="AJ83" s="155"/>
      <c r="AK83" s="155"/>
      <c r="AL83" s="155"/>
      <c r="AM83" s="155"/>
      <c r="AN83" s="155"/>
      <c r="AO83" s="155"/>
      <c r="AP83" s="155"/>
      <c r="AQ83" s="155"/>
    </row>
    <row r="84" spans="1:43" ht="13.5" customHeight="1">
      <c r="A84" s="160"/>
      <c r="B84" s="160"/>
      <c r="C84" s="16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45"/>
      <c r="AE84" s="150"/>
      <c r="AF84" s="154"/>
      <c r="AG84" s="154"/>
      <c r="AH84" s="155"/>
      <c r="AI84" s="155"/>
      <c r="AJ84" s="155"/>
      <c r="AK84" s="155"/>
      <c r="AL84" s="155"/>
      <c r="AM84" s="155"/>
      <c r="AN84" s="155"/>
      <c r="AO84" s="155"/>
      <c r="AP84" s="155"/>
      <c r="AQ84" s="155"/>
    </row>
    <row r="85" spans="1:43" ht="13.5" customHeight="1">
      <c r="A85" s="160"/>
      <c r="B85" s="160"/>
      <c r="C85" s="16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45"/>
      <c r="AE85" s="150"/>
      <c r="AF85" s="154"/>
      <c r="AG85" s="154"/>
      <c r="AH85" s="155"/>
      <c r="AI85" s="155"/>
      <c r="AJ85" s="155"/>
      <c r="AK85" s="155"/>
      <c r="AL85" s="155"/>
      <c r="AM85" s="155"/>
      <c r="AN85" s="155"/>
      <c r="AO85" s="155"/>
      <c r="AP85" s="155"/>
      <c r="AQ85" s="155"/>
    </row>
    <row r="86" spans="1:43" ht="13.5" customHeight="1">
      <c r="A86" s="160"/>
      <c r="B86" s="160"/>
      <c r="C86" s="16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45"/>
      <c r="AE86" s="150"/>
      <c r="AF86" s="154"/>
      <c r="AG86" s="154"/>
      <c r="AH86" s="155"/>
      <c r="AI86" s="155"/>
      <c r="AJ86" s="155"/>
      <c r="AK86" s="155"/>
      <c r="AL86" s="155"/>
      <c r="AM86" s="155"/>
      <c r="AN86" s="155"/>
      <c r="AO86" s="155"/>
      <c r="AP86" s="155"/>
      <c r="AQ86" s="155"/>
    </row>
    <row r="87" spans="1:43" ht="13.5" customHeight="1">
      <c r="A87" s="160"/>
      <c r="B87" s="160"/>
      <c r="C87" s="16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45"/>
      <c r="AE87" s="150"/>
      <c r="AF87" s="154"/>
      <c r="AG87" s="154"/>
      <c r="AH87" s="155"/>
      <c r="AI87" s="155"/>
      <c r="AJ87" s="155"/>
      <c r="AK87" s="155"/>
      <c r="AL87" s="155"/>
      <c r="AM87" s="155"/>
      <c r="AN87" s="155"/>
      <c r="AO87" s="155"/>
      <c r="AP87" s="155"/>
      <c r="AQ87" s="155"/>
    </row>
    <row r="88" spans="1:43" ht="13.5" customHeight="1">
      <c r="A88" s="160"/>
      <c r="B88" s="160"/>
      <c r="C88" s="16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45"/>
      <c r="AE88" s="150"/>
      <c r="AF88" s="154"/>
      <c r="AG88" s="154"/>
      <c r="AH88" s="155"/>
      <c r="AI88" s="155"/>
      <c r="AJ88" s="155"/>
      <c r="AK88" s="155"/>
      <c r="AL88" s="155"/>
      <c r="AM88" s="155"/>
      <c r="AN88" s="155"/>
      <c r="AO88" s="155"/>
      <c r="AP88" s="155"/>
      <c r="AQ88" s="155"/>
    </row>
    <row r="89" spans="1:43" ht="13.5" customHeight="1">
      <c r="A89" s="160"/>
      <c r="B89" s="160"/>
      <c r="C89" s="16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45"/>
      <c r="AE89" s="150"/>
      <c r="AF89" s="154"/>
      <c r="AG89" s="154"/>
      <c r="AH89" s="155"/>
      <c r="AI89" s="155"/>
      <c r="AJ89" s="155"/>
      <c r="AK89" s="155"/>
      <c r="AL89" s="155"/>
      <c r="AM89" s="155"/>
      <c r="AN89" s="155"/>
      <c r="AO89" s="155"/>
      <c r="AP89" s="155"/>
      <c r="AQ89" s="155"/>
    </row>
    <row r="90" spans="1:43" ht="13.5" customHeight="1">
      <c r="A90" s="160"/>
      <c r="B90" s="160"/>
      <c r="C90" s="16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45"/>
      <c r="AE90" s="150"/>
      <c r="AF90" s="154"/>
      <c r="AG90" s="154"/>
      <c r="AH90" s="155"/>
      <c r="AI90" s="155"/>
      <c r="AJ90" s="155"/>
      <c r="AK90" s="155"/>
      <c r="AL90" s="155"/>
      <c r="AM90" s="155"/>
      <c r="AN90" s="155"/>
      <c r="AO90" s="155"/>
      <c r="AP90" s="155"/>
      <c r="AQ90" s="155"/>
    </row>
    <row r="91" spans="1:43" ht="13.5" customHeight="1">
      <c r="A91" s="160"/>
      <c r="B91" s="160"/>
      <c r="C91" s="16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45"/>
      <c r="AE91" s="150"/>
      <c r="AF91" s="154"/>
      <c r="AG91" s="154"/>
      <c r="AH91" s="155"/>
      <c r="AI91" s="155"/>
      <c r="AJ91" s="155"/>
      <c r="AK91" s="155"/>
      <c r="AL91" s="155"/>
      <c r="AM91" s="155"/>
      <c r="AN91" s="155"/>
      <c r="AO91" s="155"/>
      <c r="AP91" s="155"/>
      <c r="AQ91" s="155"/>
    </row>
    <row r="92" spans="1:43" ht="13.5" customHeight="1">
      <c r="A92" s="160"/>
      <c r="B92" s="160"/>
      <c r="C92" s="16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45"/>
      <c r="AE92" s="150"/>
      <c r="AF92" s="154"/>
      <c r="AG92" s="154"/>
      <c r="AH92" s="155"/>
      <c r="AI92" s="155"/>
      <c r="AJ92" s="155"/>
      <c r="AK92" s="155"/>
      <c r="AL92" s="155"/>
      <c r="AM92" s="155"/>
      <c r="AN92" s="155"/>
      <c r="AO92" s="155"/>
      <c r="AP92" s="155"/>
      <c r="AQ92" s="155"/>
    </row>
    <row r="93" spans="1:43" ht="13.5" customHeight="1">
      <c r="A93" s="160"/>
      <c r="B93" s="160"/>
      <c r="C93" s="16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45"/>
      <c r="AE93" s="150"/>
      <c r="AF93" s="154"/>
      <c r="AG93" s="154"/>
      <c r="AH93" s="155"/>
      <c r="AI93" s="155"/>
      <c r="AJ93" s="155"/>
      <c r="AK93" s="155"/>
      <c r="AL93" s="155"/>
      <c r="AM93" s="155"/>
      <c r="AN93" s="155"/>
      <c r="AO93" s="155"/>
      <c r="AP93" s="155"/>
      <c r="AQ93" s="155"/>
    </row>
    <row r="94" spans="1:43" ht="13.5" customHeight="1">
      <c r="A94" s="160"/>
      <c r="B94" s="160"/>
      <c r="C94" s="16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45"/>
      <c r="AE94" s="150"/>
      <c r="AF94" s="154"/>
      <c r="AG94" s="154"/>
      <c r="AH94" s="155"/>
      <c r="AI94" s="155"/>
      <c r="AJ94" s="155"/>
      <c r="AK94" s="155"/>
      <c r="AL94" s="155"/>
      <c r="AM94" s="155"/>
      <c r="AN94" s="155"/>
      <c r="AO94" s="155"/>
      <c r="AP94" s="155"/>
      <c r="AQ94" s="155"/>
    </row>
    <row r="95" spans="1:43" ht="13.5" customHeight="1">
      <c r="A95" s="160"/>
      <c r="B95" s="160"/>
      <c r="C95" s="16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45"/>
      <c r="AE95" s="150"/>
      <c r="AF95" s="154"/>
      <c r="AG95" s="154"/>
      <c r="AH95" s="155"/>
      <c r="AI95" s="155"/>
      <c r="AJ95" s="155"/>
      <c r="AK95" s="155"/>
      <c r="AL95" s="155"/>
      <c r="AM95" s="155"/>
      <c r="AN95" s="155"/>
      <c r="AO95" s="155"/>
      <c r="AP95" s="155"/>
      <c r="AQ95" s="155"/>
    </row>
    <row r="96" spans="1:43" ht="13.5" customHeight="1">
      <c r="A96" s="160"/>
      <c r="B96" s="160"/>
      <c r="C96" s="16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45"/>
      <c r="AE96" s="150"/>
      <c r="AF96" s="154"/>
      <c r="AG96" s="154"/>
      <c r="AH96" s="155"/>
      <c r="AI96" s="155"/>
      <c r="AJ96" s="155"/>
      <c r="AK96" s="155"/>
      <c r="AL96" s="155"/>
      <c r="AM96" s="155"/>
      <c r="AN96" s="155"/>
      <c r="AO96" s="155"/>
      <c r="AP96" s="155"/>
      <c r="AQ96" s="155"/>
    </row>
    <row r="97" spans="1:43" ht="13.5" customHeight="1">
      <c r="A97" s="160"/>
      <c r="B97" s="160"/>
      <c r="C97" s="16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45"/>
      <c r="AE97" s="150"/>
      <c r="AF97" s="154"/>
      <c r="AG97" s="154"/>
      <c r="AH97" s="155"/>
      <c r="AI97" s="155"/>
      <c r="AJ97" s="155"/>
      <c r="AK97" s="155"/>
      <c r="AL97" s="155"/>
      <c r="AM97" s="155"/>
      <c r="AN97" s="155"/>
      <c r="AO97" s="155"/>
      <c r="AP97" s="155"/>
      <c r="AQ97" s="155"/>
    </row>
    <row r="98" spans="1:43" ht="13.5" customHeight="1">
      <c r="A98" s="160"/>
      <c r="B98" s="160"/>
      <c r="C98" s="16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45"/>
      <c r="AE98" s="150"/>
      <c r="AF98" s="154"/>
      <c r="AG98" s="154"/>
      <c r="AH98" s="155"/>
      <c r="AI98" s="155"/>
      <c r="AJ98" s="155"/>
      <c r="AK98" s="155"/>
      <c r="AL98" s="155"/>
      <c r="AM98" s="155"/>
      <c r="AN98" s="155"/>
      <c r="AO98" s="155"/>
      <c r="AP98" s="155"/>
      <c r="AQ98" s="155"/>
    </row>
    <row r="99" spans="1:43" ht="13.5" customHeight="1">
      <c r="A99" s="160"/>
      <c r="B99" s="160"/>
      <c r="C99" s="16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45"/>
      <c r="AE99" s="150"/>
      <c r="AF99" s="154"/>
      <c r="AG99" s="154"/>
      <c r="AH99" s="155"/>
      <c r="AI99" s="155"/>
      <c r="AJ99" s="155"/>
      <c r="AK99" s="155"/>
      <c r="AL99" s="155"/>
      <c r="AM99" s="155"/>
      <c r="AN99" s="155"/>
      <c r="AO99" s="155"/>
      <c r="AP99" s="155"/>
      <c r="AQ99" s="155"/>
    </row>
    <row r="100" spans="1:43" ht="13.5" customHeight="1">
      <c r="A100" s="160"/>
      <c r="B100" s="160"/>
      <c r="C100" s="16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45"/>
      <c r="AE100" s="150"/>
      <c r="AF100" s="154"/>
      <c r="AG100" s="154"/>
      <c r="AH100" s="155"/>
      <c r="AI100" s="155"/>
      <c r="AJ100" s="155"/>
      <c r="AK100" s="155"/>
      <c r="AL100" s="155"/>
      <c r="AM100" s="155"/>
      <c r="AN100" s="155"/>
      <c r="AO100" s="155"/>
      <c r="AP100" s="155"/>
      <c r="AQ100" s="155"/>
    </row>
    <row r="101" spans="1:43" ht="13.5" customHeight="1">
      <c r="A101" s="160"/>
      <c r="B101" s="160"/>
      <c r="C101" s="16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45"/>
      <c r="AE101" s="150"/>
      <c r="AF101" s="154"/>
      <c r="AG101" s="154"/>
      <c r="AH101" s="155"/>
      <c r="AI101" s="155"/>
      <c r="AJ101" s="155"/>
      <c r="AK101" s="155"/>
      <c r="AL101" s="155"/>
      <c r="AM101" s="155"/>
      <c r="AN101" s="155"/>
      <c r="AO101" s="155"/>
      <c r="AP101" s="155"/>
      <c r="AQ101" s="155"/>
    </row>
    <row r="102" spans="1:43" ht="13.5" customHeight="1">
      <c r="A102" s="160"/>
      <c r="B102" s="160"/>
      <c r="C102" s="16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45"/>
      <c r="AE102" s="150"/>
      <c r="AF102" s="154"/>
      <c r="AG102" s="154"/>
      <c r="AH102" s="155"/>
      <c r="AI102" s="155"/>
      <c r="AJ102" s="155"/>
      <c r="AK102" s="155"/>
      <c r="AL102" s="155"/>
      <c r="AM102" s="155"/>
      <c r="AN102" s="155"/>
      <c r="AO102" s="155"/>
      <c r="AP102" s="155"/>
      <c r="AQ102" s="155"/>
    </row>
    <row r="103" spans="1:43" ht="13.5" customHeight="1">
      <c r="A103" s="160"/>
      <c r="B103" s="160"/>
      <c r="C103" s="16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45"/>
      <c r="AE103" s="150"/>
      <c r="AF103" s="154"/>
      <c r="AG103" s="154"/>
      <c r="AH103" s="155"/>
      <c r="AI103" s="155"/>
      <c r="AJ103" s="155"/>
      <c r="AK103" s="155"/>
      <c r="AL103" s="155"/>
      <c r="AM103" s="155"/>
      <c r="AN103" s="155"/>
      <c r="AO103" s="155"/>
      <c r="AP103" s="155"/>
      <c r="AQ103" s="155"/>
    </row>
    <row r="104" spans="1:43" ht="13.5" customHeight="1">
      <c r="A104" s="160"/>
      <c r="B104" s="160"/>
      <c r="C104" s="16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45"/>
      <c r="AE104" s="150"/>
      <c r="AF104" s="154"/>
      <c r="AG104" s="154"/>
      <c r="AH104" s="155"/>
      <c r="AI104" s="155"/>
      <c r="AJ104" s="155"/>
      <c r="AK104" s="155"/>
      <c r="AL104" s="155"/>
      <c r="AM104" s="155"/>
      <c r="AN104" s="155"/>
      <c r="AO104" s="155"/>
      <c r="AP104" s="155"/>
      <c r="AQ104" s="155"/>
    </row>
    <row r="105" spans="1:43" ht="13.5" customHeight="1">
      <c r="A105" s="160"/>
      <c r="B105" s="160"/>
      <c r="C105" s="16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45"/>
      <c r="AE105" s="150"/>
      <c r="AF105" s="154"/>
      <c r="AG105" s="154"/>
      <c r="AH105" s="155"/>
      <c r="AI105" s="155"/>
      <c r="AJ105" s="155"/>
      <c r="AK105" s="155"/>
      <c r="AL105" s="155"/>
      <c r="AM105" s="155"/>
      <c r="AN105" s="155"/>
      <c r="AO105" s="155"/>
      <c r="AP105" s="155"/>
      <c r="AQ105" s="155"/>
    </row>
    <row r="106" spans="1:43" ht="13.5" customHeight="1">
      <c r="A106" s="160"/>
      <c r="B106" s="160"/>
      <c r="C106" s="16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45"/>
      <c r="AE106" s="150"/>
      <c r="AF106" s="154"/>
      <c r="AG106" s="154"/>
      <c r="AH106" s="155"/>
      <c r="AI106" s="155"/>
      <c r="AJ106" s="155"/>
      <c r="AK106" s="155"/>
      <c r="AL106" s="155"/>
      <c r="AM106" s="155"/>
      <c r="AN106" s="155"/>
      <c r="AO106" s="155"/>
      <c r="AP106" s="155"/>
      <c r="AQ106" s="155"/>
    </row>
    <row r="107" spans="1:43" ht="13.5" customHeight="1">
      <c r="A107" s="160"/>
      <c r="B107" s="160"/>
      <c r="C107" s="16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45"/>
      <c r="AE107" s="150"/>
      <c r="AF107" s="154"/>
      <c r="AG107" s="154"/>
      <c r="AH107" s="155"/>
      <c r="AI107" s="155"/>
      <c r="AJ107" s="155"/>
      <c r="AK107" s="155"/>
      <c r="AL107" s="155"/>
      <c r="AM107" s="155"/>
      <c r="AN107" s="155"/>
      <c r="AO107" s="155"/>
      <c r="AP107" s="155"/>
      <c r="AQ107" s="155"/>
    </row>
    <row r="108" spans="1:43" ht="13.5" customHeight="1">
      <c r="A108" s="160"/>
      <c r="B108" s="160"/>
      <c r="C108" s="16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45"/>
      <c r="AE108" s="150"/>
      <c r="AF108" s="154"/>
      <c r="AG108" s="154"/>
      <c r="AH108" s="155"/>
      <c r="AI108" s="155"/>
      <c r="AJ108" s="155"/>
      <c r="AK108" s="155"/>
      <c r="AL108" s="155"/>
      <c r="AM108" s="155"/>
      <c r="AN108" s="155"/>
      <c r="AO108" s="155"/>
      <c r="AP108" s="155"/>
      <c r="AQ108" s="155"/>
    </row>
    <row r="109" spans="1:43" ht="13.5" customHeight="1">
      <c r="A109" s="160"/>
      <c r="B109" s="160"/>
      <c r="C109" s="16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45"/>
      <c r="AE109" s="150"/>
      <c r="AF109" s="154"/>
      <c r="AG109" s="154"/>
      <c r="AH109" s="155"/>
      <c r="AI109" s="155"/>
      <c r="AJ109" s="155"/>
      <c r="AK109" s="155"/>
      <c r="AL109" s="155"/>
      <c r="AM109" s="155"/>
      <c r="AN109" s="155"/>
      <c r="AO109" s="155"/>
      <c r="AP109" s="155"/>
      <c r="AQ109" s="155"/>
    </row>
    <row r="110" spans="1:43" ht="13.5" customHeight="1">
      <c r="A110" s="160"/>
      <c r="B110" s="160"/>
      <c r="C110" s="16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45"/>
      <c r="AE110" s="150"/>
      <c r="AF110" s="154"/>
      <c r="AG110" s="154"/>
      <c r="AH110" s="155"/>
      <c r="AI110" s="155"/>
      <c r="AJ110" s="155"/>
      <c r="AK110" s="155"/>
      <c r="AL110" s="155"/>
      <c r="AM110" s="155"/>
      <c r="AN110" s="155"/>
      <c r="AO110" s="155"/>
      <c r="AP110" s="155"/>
      <c r="AQ110" s="155"/>
    </row>
    <row r="111" spans="1:43" ht="13.5" customHeight="1">
      <c r="A111" s="160"/>
      <c r="B111" s="160"/>
      <c r="C111" s="16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45"/>
      <c r="AE111" s="150"/>
      <c r="AF111" s="154"/>
      <c r="AG111" s="154"/>
      <c r="AH111" s="155"/>
      <c r="AI111" s="155"/>
      <c r="AJ111" s="155"/>
      <c r="AK111" s="155"/>
      <c r="AL111" s="155"/>
      <c r="AM111" s="155"/>
      <c r="AN111" s="155"/>
      <c r="AO111" s="155"/>
      <c r="AP111" s="155"/>
      <c r="AQ111" s="155"/>
    </row>
    <row r="112" spans="1:43" ht="13.5" customHeight="1">
      <c r="A112" s="160"/>
      <c r="B112" s="160"/>
      <c r="C112" s="16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45"/>
      <c r="AE112" s="150"/>
      <c r="AF112" s="154"/>
      <c r="AG112" s="154"/>
      <c r="AH112" s="155"/>
      <c r="AI112" s="155"/>
      <c r="AJ112" s="155"/>
      <c r="AK112" s="155"/>
      <c r="AL112" s="155"/>
      <c r="AM112" s="155"/>
      <c r="AN112" s="155"/>
      <c r="AO112" s="155"/>
      <c r="AP112" s="155"/>
      <c r="AQ112" s="155"/>
    </row>
    <row r="113" spans="1:43" ht="13.5" customHeight="1">
      <c r="A113" s="160"/>
      <c r="B113" s="160"/>
      <c r="C113" s="16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45"/>
      <c r="AE113" s="150"/>
      <c r="AF113" s="154"/>
      <c r="AG113" s="154"/>
      <c r="AH113" s="155"/>
      <c r="AI113" s="155"/>
      <c r="AJ113" s="155"/>
      <c r="AK113" s="155"/>
      <c r="AL113" s="155"/>
      <c r="AM113" s="155"/>
      <c r="AN113" s="155"/>
      <c r="AO113" s="155"/>
      <c r="AP113" s="155"/>
      <c r="AQ113" s="155"/>
    </row>
    <row r="114" spans="1:43" ht="13.5" customHeight="1">
      <c r="A114" s="160"/>
      <c r="B114" s="160"/>
      <c r="C114" s="16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45"/>
      <c r="AE114" s="150"/>
      <c r="AF114" s="154"/>
      <c r="AG114" s="154"/>
      <c r="AH114" s="155"/>
      <c r="AI114" s="155"/>
      <c r="AJ114" s="155"/>
      <c r="AK114" s="155"/>
      <c r="AL114" s="155"/>
      <c r="AM114" s="155"/>
      <c r="AN114" s="155"/>
      <c r="AO114" s="155"/>
      <c r="AP114" s="155"/>
      <c r="AQ114" s="155"/>
    </row>
    <row r="115" spans="1:43" ht="13.5" customHeight="1">
      <c r="A115" s="160"/>
      <c r="B115" s="160"/>
      <c r="C115" s="16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45"/>
      <c r="AE115" s="150"/>
      <c r="AF115" s="154"/>
      <c r="AG115" s="154"/>
      <c r="AH115" s="155"/>
      <c r="AI115" s="155"/>
      <c r="AJ115" s="155"/>
      <c r="AK115" s="155"/>
      <c r="AL115" s="155"/>
      <c r="AM115" s="155"/>
      <c r="AN115" s="155"/>
      <c r="AO115" s="155"/>
      <c r="AP115" s="155"/>
      <c r="AQ115" s="155"/>
    </row>
    <row r="116" spans="1:43" ht="13.5" customHeight="1">
      <c r="A116" s="160"/>
      <c r="B116" s="160"/>
      <c r="C116" s="16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45"/>
      <c r="AE116" s="150"/>
      <c r="AF116" s="154"/>
      <c r="AG116" s="154"/>
      <c r="AH116" s="155"/>
      <c r="AI116" s="155"/>
      <c r="AJ116" s="155"/>
      <c r="AK116" s="155"/>
      <c r="AL116" s="155"/>
      <c r="AM116" s="155"/>
      <c r="AN116" s="155"/>
      <c r="AO116" s="155"/>
      <c r="AP116" s="155"/>
      <c r="AQ116" s="155"/>
    </row>
    <row r="117" spans="1:43" ht="13.5" customHeight="1">
      <c r="A117" s="160"/>
      <c r="B117" s="160"/>
      <c r="C117" s="16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45"/>
      <c r="AE117" s="150"/>
      <c r="AF117" s="154"/>
      <c r="AG117" s="154"/>
      <c r="AH117" s="155"/>
      <c r="AI117" s="155"/>
      <c r="AJ117" s="155"/>
      <c r="AK117" s="155"/>
      <c r="AL117" s="155"/>
      <c r="AM117" s="155"/>
      <c r="AN117" s="155"/>
      <c r="AO117" s="155"/>
      <c r="AP117" s="155"/>
      <c r="AQ117" s="155"/>
    </row>
    <row r="118" spans="1:43" ht="13.5" customHeight="1">
      <c r="A118" s="160"/>
      <c r="B118" s="160"/>
      <c r="C118" s="16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45"/>
      <c r="AE118" s="150"/>
      <c r="AF118" s="154"/>
      <c r="AG118" s="154"/>
      <c r="AH118" s="155"/>
      <c r="AI118" s="155"/>
      <c r="AJ118" s="155"/>
      <c r="AK118" s="155"/>
      <c r="AL118" s="155"/>
      <c r="AM118" s="155"/>
      <c r="AN118" s="155"/>
      <c r="AO118" s="155"/>
      <c r="AP118" s="155"/>
      <c r="AQ118" s="155"/>
    </row>
    <row r="119" spans="1:43" ht="13.5" customHeight="1">
      <c r="A119" s="160"/>
      <c r="B119" s="160"/>
      <c r="C119" s="16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45"/>
      <c r="AE119" s="150"/>
      <c r="AF119" s="154"/>
      <c r="AG119" s="154"/>
      <c r="AH119" s="155"/>
      <c r="AI119" s="155"/>
      <c r="AJ119" s="155"/>
      <c r="AK119" s="155"/>
      <c r="AL119" s="155"/>
      <c r="AM119" s="155"/>
      <c r="AN119" s="155"/>
      <c r="AO119" s="155"/>
      <c r="AP119" s="155"/>
      <c r="AQ119" s="155"/>
    </row>
    <row r="120" spans="1:43" ht="13.5" customHeight="1">
      <c r="A120" s="160"/>
      <c r="B120" s="160"/>
      <c r="C120" s="16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45"/>
      <c r="AE120" s="150"/>
      <c r="AF120" s="154"/>
      <c r="AG120" s="154"/>
      <c r="AH120" s="155"/>
      <c r="AI120" s="155"/>
      <c r="AJ120" s="155"/>
      <c r="AK120" s="155"/>
      <c r="AL120" s="155"/>
      <c r="AM120" s="155"/>
      <c r="AN120" s="155"/>
      <c r="AO120" s="155"/>
      <c r="AP120" s="155"/>
      <c r="AQ120" s="155"/>
    </row>
    <row r="121" spans="1:43" ht="13.5" customHeight="1">
      <c r="A121" s="160"/>
      <c r="B121" s="160"/>
      <c r="C121" s="16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45"/>
      <c r="AE121" s="150"/>
      <c r="AF121" s="154"/>
      <c r="AG121" s="154"/>
      <c r="AH121" s="155"/>
      <c r="AI121" s="155"/>
      <c r="AJ121" s="155"/>
      <c r="AK121" s="155"/>
      <c r="AL121" s="155"/>
      <c r="AM121" s="155"/>
      <c r="AN121" s="155"/>
      <c r="AO121" s="155"/>
      <c r="AP121" s="155"/>
      <c r="AQ121" s="155"/>
    </row>
    <row r="122" spans="1:43" ht="13.5" customHeight="1">
      <c r="A122" s="160"/>
      <c r="B122" s="160"/>
      <c r="C122" s="16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45"/>
      <c r="AE122" s="150"/>
      <c r="AF122" s="154"/>
      <c r="AG122" s="154"/>
      <c r="AH122" s="155"/>
      <c r="AI122" s="155"/>
      <c r="AJ122" s="155"/>
      <c r="AK122" s="155"/>
      <c r="AL122" s="155"/>
      <c r="AM122" s="155"/>
      <c r="AN122" s="155"/>
      <c r="AO122" s="155"/>
      <c r="AP122" s="155"/>
      <c r="AQ122" s="155"/>
    </row>
    <row r="123" spans="1:43" ht="13.5" customHeight="1">
      <c r="A123" s="160"/>
      <c r="B123" s="160"/>
      <c r="C123" s="16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45"/>
      <c r="AE123" s="150"/>
      <c r="AF123" s="154"/>
      <c r="AG123" s="154"/>
      <c r="AH123" s="155"/>
      <c r="AI123" s="155"/>
      <c r="AJ123" s="155"/>
      <c r="AK123" s="155"/>
      <c r="AL123" s="155"/>
      <c r="AM123" s="155"/>
      <c r="AN123" s="155"/>
      <c r="AO123" s="155"/>
      <c r="AP123" s="155"/>
      <c r="AQ123" s="155"/>
    </row>
    <row r="124" spans="1:43" ht="13.5" customHeight="1">
      <c r="A124" s="160"/>
      <c r="B124" s="160"/>
      <c r="C124" s="16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45"/>
      <c r="AE124" s="150"/>
      <c r="AF124" s="154"/>
      <c r="AG124" s="154"/>
      <c r="AH124" s="155"/>
      <c r="AI124" s="155"/>
      <c r="AJ124" s="155"/>
      <c r="AK124" s="155"/>
      <c r="AL124" s="155"/>
      <c r="AM124" s="155"/>
      <c r="AN124" s="155"/>
      <c r="AO124" s="155"/>
      <c r="AP124" s="155"/>
      <c r="AQ124" s="155"/>
    </row>
    <row r="125" spans="1:43" ht="13.5" customHeight="1">
      <c r="A125" s="160"/>
      <c r="B125" s="160"/>
      <c r="C125" s="16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45"/>
      <c r="AE125" s="150"/>
      <c r="AF125" s="154"/>
      <c r="AG125" s="154"/>
      <c r="AH125" s="155"/>
      <c r="AI125" s="155"/>
      <c r="AJ125" s="155"/>
      <c r="AK125" s="155"/>
      <c r="AL125" s="155"/>
      <c r="AM125" s="155"/>
      <c r="AN125" s="155"/>
      <c r="AO125" s="155"/>
      <c r="AP125" s="155"/>
      <c r="AQ125" s="155"/>
    </row>
    <row r="126" spans="1:43" ht="13.5" customHeight="1">
      <c r="A126" s="160"/>
      <c r="B126" s="160"/>
      <c r="C126" s="16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45"/>
      <c r="AE126" s="150"/>
      <c r="AF126" s="154"/>
      <c r="AG126" s="154"/>
      <c r="AH126" s="155"/>
      <c r="AI126" s="155"/>
      <c r="AJ126" s="155"/>
      <c r="AK126" s="155"/>
      <c r="AL126" s="155"/>
      <c r="AM126" s="155"/>
      <c r="AN126" s="155"/>
      <c r="AO126" s="155"/>
      <c r="AP126" s="155"/>
      <c r="AQ126" s="155"/>
    </row>
    <row r="127" spans="1:43" ht="13.5" customHeight="1">
      <c r="A127" s="160"/>
      <c r="B127" s="160"/>
      <c r="C127" s="16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45"/>
      <c r="AE127" s="150"/>
      <c r="AF127" s="154"/>
      <c r="AG127" s="154"/>
      <c r="AH127" s="155"/>
      <c r="AI127" s="155"/>
      <c r="AJ127" s="155"/>
      <c r="AK127" s="155"/>
      <c r="AL127" s="155"/>
      <c r="AM127" s="155"/>
      <c r="AN127" s="155"/>
      <c r="AO127" s="155"/>
      <c r="AP127" s="155"/>
      <c r="AQ127" s="155"/>
    </row>
    <row r="128" spans="1:43" ht="13.5" customHeight="1">
      <c r="A128" s="160"/>
      <c r="B128" s="160"/>
      <c r="C128" s="16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45"/>
      <c r="AE128" s="150"/>
      <c r="AF128" s="154"/>
      <c r="AG128" s="154"/>
      <c r="AH128" s="155"/>
      <c r="AI128" s="155"/>
      <c r="AJ128" s="155"/>
      <c r="AK128" s="155"/>
      <c r="AL128" s="155"/>
      <c r="AM128" s="155"/>
      <c r="AN128" s="155"/>
      <c r="AO128" s="155"/>
      <c r="AP128" s="155"/>
      <c r="AQ128" s="155"/>
    </row>
    <row r="129" spans="1:43" ht="13.5" customHeight="1">
      <c r="A129" s="160"/>
      <c r="B129" s="160"/>
      <c r="C129" s="16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45"/>
      <c r="AE129" s="150"/>
      <c r="AF129" s="154"/>
      <c r="AG129" s="154"/>
      <c r="AH129" s="155"/>
      <c r="AI129" s="155"/>
      <c r="AJ129" s="155"/>
      <c r="AK129" s="155"/>
      <c r="AL129" s="155"/>
      <c r="AM129" s="155"/>
      <c r="AN129" s="155"/>
      <c r="AO129" s="155"/>
      <c r="AP129" s="155"/>
      <c r="AQ129" s="155"/>
    </row>
    <row r="130" spans="1:43" ht="13.5" customHeight="1">
      <c r="A130" s="160"/>
      <c r="B130" s="160"/>
      <c r="C130" s="16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45"/>
      <c r="AE130" s="150"/>
      <c r="AF130" s="154"/>
      <c r="AG130" s="154"/>
      <c r="AH130" s="155"/>
      <c r="AI130" s="155"/>
      <c r="AJ130" s="155"/>
      <c r="AK130" s="155"/>
      <c r="AL130" s="155"/>
      <c r="AM130" s="155"/>
      <c r="AN130" s="155"/>
      <c r="AO130" s="155"/>
      <c r="AP130" s="155"/>
      <c r="AQ130" s="155"/>
    </row>
    <row r="131" spans="1:43" ht="13.5" customHeight="1">
      <c r="A131" s="160"/>
      <c r="B131" s="160"/>
      <c r="C131" s="16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45"/>
      <c r="AE131" s="150"/>
      <c r="AF131" s="154"/>
      <c r="AG131" s="154"/>
      <c r="AH131" s="155"/>
      <c r="AI131" s="155"/>
      <c r="AJ131" s="155"/>
      <c r="AK131" s="155"/>
      <c r="AL131" s="155"/>
      <c r="AM131" s="155"/>
      <c r="AN131" s="155"/>
      <c r="AO131" s="155"/>
      <c r="AP131" s="155"/>
      <c r="AQ131" s="155"/>
    </row>
    <row r="132" spans="1:43" ht="13.5" customHeight="1">
      <c r="A132" s="160"/>
      <c r="B132" s="160"/>
      <c r="C132" s="16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45"/>
      <c r="AE132" s="150"/>
      <c r="AF132" s="154"/>
      <c r="AG132" s="154"/>
      <c r="AH132" s="155"/>
      <c r="AI132" s="155"/>
      <c r="AJ132" s="155"/>
      <c r="AK132" s="155"/>
      <c r="AL132" s="155"/>
      <c r="AM132" s="155"/>
      <c r="AN132" s="155"/>
      <c r="AO132" s="155"/>
      <c r="AP132" s="155"/>
      <c r="AQ132" s="155"/>
    </row>
    <row r="133" spans="1:43" ht="13.5" customHeight="1">
      <c r="A133" s="160"/>
      <c r="B133" s="160"/>
      <c r="C133" s="16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45"/>
      <c r="AE133" s="150"/>
      <c r="AF133" s="154"/>
      <c r="AG133" s="154"/>
      <c r="AH133" s="155"/>
      <c r="AI133" s="155"/>
      <c r="AJ133" s="155"/>
      <c r="AK133" s="155"/>
      <c r="AL133" s="155"/>
      <c r="AM133" s="155"/>
      <c r="AN133" s="155"/>
      <c r="AO133" s="155"/>
      <c r="AP133" s="155"/>
      <c r="AQ133" s="155"/>
    </row>
    <row r="134" spans="1:43" ht="13.5" customHeight="1">
      <c r="A134" s="160"/>
      <c r="B134" s="160"/>
      <c r="C134" s="16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45"/>
      <c r="AE134" s="150"/>
      <c r="AF134" s="154"/>
      <c r="AG134" s="154"/>
      <c r="AH134" s="155"/>
      <c r="AI134" s="155"/>
      <c r="AJ134" s="155"/>
      <c r="AK134" s="155"/>
      <c r="AL134" s="155"/>
      <c r="AM134" s="155"/>
      <c r="AN134" s="155"/>
      <c r="AO134" s="155"/>
      <c r="AP134" s="155"/>
      <c r="AQ134" s="155"/>
    </row>
    <row r="135" spans="1:43" ht="13.5" customHeight="1">
      <c r="A135" s="160"/>
      <c r="B135" s="160"/>
      <c r="C135" s="16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45"/>
      <c r="AE135" s="150"/>
      <c r="AF135" s="154"/>
      <c r="AG135" s="154"/>
      <c r="AH135" s="155"/>
      <c r="AI135" s="155"/>
      <c r="AJ135" s="155"/>
      <c r="AK135" s="155"/>
      <c r="AL135" s="155"/>
      <c r="AM135" s="155"/>
      <c r="AN135" s="155"/>
      <c r="AO135" s="155"/>
      <c r="AP135" s="155"/>
      <c r="AQ135" s="155"/>
    </row>
    <row r="136" spans="1:43" ht="13.5" customHeight="1">
      <c r="A136" s="160"/>
      <c r="B136" s="160"/>
      <c r="C136" s="16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45"/>
      <c r="AE136" s="150"/>
      <c r="AF136" s="154"/>
      <c r="AG136" s="154"/>
      <c r="AH136" s="155"/>
      <c r="AI136" s="155"/>
      <c r="AJ136" s="155"/>
      <c r="AK136" s="155"/>
      <c r="AL136" s="155"/>
      <c r="AM136" s="155"/>
      <c r="AN136" s="155"/>
      <c r="AO136" s="155"/>
      <c r="AP136" s="155"/>
      <c r="AQ136" s="155"/>
    </row>
    <row r="137" spans="1:43" ht="13.5" customHeight="1">
      <c r="A137" s="160"/>
      <c r="B137" s="160"/>
      <c r="C137" s="16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45"/>
      <c r="AE137" s="150"/>
      <c r="AF137" s="154"/>
      <c r="AG137" s="154"/>
      <c r="AH137" s="155"/>
      <c r="AI137" s="155"/>
      <c r="AJ137" s="155"/>
      <c r="AK137" s="155"/>
      <c r="AL137" s="155"/>
      <c r="AM137" s="155"/>
      <c r="AN137" s="155"/>
      <c r="AO137" s="155"/>
      <c r="AP137" s="155"/>
      <c r="AQ137" s="155"/>
    </row>
    <row r="138" spans="1:43" ht="13.5" customHeight="1">
      <c r="A138" s="160"/>
      <c r="B138" s="160"/>
      <c r="C138" s="16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45"/>
      <c r="AE138" s="150"/>
      <c r="AF138" s="154"/>
      <c r="AG138" s="154"/>
      <c r="AH138" s="155"/>
      <c r="AI138" s="155"/>
      <c r="AJ138" s="155"/>
      <c r="AK138" s="155"/>
      <c r="AL138" s="155"/>
      <c r="AM138" s="155"/>
      <c r="AN138" s="155"/>
      <c r="AO138" s="155"/>
      <c r="AP138" s="155"/>
      <c r="AQ138" s="155"/>
    </row>
    <row r="139" spans="1:43" ht="13.5" customHeight="1">
      <c r="A139" s="160"/>
      <c r="B139" s="160"/>
      <c r="C139" s="16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45"/>
      <c r="AE139" s="150"/>
      <c r="AF139" s="154"/>
      <c r="AG139" s="154"/>
      <c r="AH139" s="155"/>
      <c r="AI139" s="155"/>
      <c r="AJ139" s="155"/>
      <c r="AK139" s="155"/>
      <c r="AL139" s="155"/>
      <c r="AM139" s="155"/>
      <c r="AN139" s="155"/>
      <c r="AO139" s="155"/>
      <c r="AP139" s="155"/>
      <c r="AQ139" s="155"/>
    </row>
    <row r="140" spans="1:43" ht="13.5" customHeight="1">
      <c r="A140" s="160"/>
      <c r="B140" s="160"/>
      <c r="C140" s="16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45"/>
      <c r="AE140" s="150"/>
      <c r="AF140" s="154"/>
      <c r="AG140" s="154"/>
      <c r="AH140" s="155"/>
      <c r="AI140" s="155"/>
      <c r="AJ140" s="155"/>
      <c r="AK140" s="155"/>
      <c r="AL140" s="155"/>
      <c r="AM140" s="155"/>
      <c r="AN140" s="155"/>
      <c r="AO140" s="155"/>
      <c r="AP140" s="155"/>
      <c r="AQ140" s="155"/>
    </row>
    <row r="141" spans="1:43" ht="13.5" customHeight="1">
      <c r="A141" s="160"/>
      <c r="B141" s="160"/>
      <c r="C141" s="16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45"/>
      <c r="AE141" s="150"/>
      <c r="AF141" s="154"/>
      <c r="AG141" s="154"/>
      <c r="AH141" s="155"/>
      <c r="AI141" s="155"/>
      <c r="AJ141" s="155"/>
      <c r="AK141" s="155"/>
      <c r="AL141" s="155"/>
      <c r="AM141" s="155"/>
      <c r="AN141" s="155"/>
      <c r="AO141" s="155"/>
      <c r="AP141" s="155"/>
      <c r="AQ141" s="155"/>
    </row>
    <row r="142" spans="1:43" ht="13.5" customHeight="1">
      <c r="A142" s="160"/>
      <c r="B142" s="160"/>
      <c r="C142" s="16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45"/>
      <c r="AE142" s="150"/>
      <c r="AF142" s="154"/>
      <c r="AG142" s="154"/>
      <c r="AH142" s="155"/>
      <c r="AI142" s="155"/>
      <c r="AJ142" s="155"/>
      <c r="AK142" s="155"/>
      <c r="AL142" s="155"/>
      <c r="AM142" s="155"/>
      <c r="AN142" s="155"/>
      <c r="AO142" s="155"/>
      <c r="AP142" s="155"/>
      <c r="AQ142" s="155"/>
    </row>
    <row r="143" spans="1:43" ht="13.5" customHeight="1">
      <c r="A143" s="160"/>
      <c r="B143" s="160"/>
      <c r="C143" s="16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45"/>
      <c r="AE143" s="150"/>
      <c r="AF143" s="154"/>
      <c r="AG143" s="154"/>
      <c r="AH143" s="155"/>
      <c r="AI143" s="155"/>
      <c r="AJ143" s="155"/>
      <c r="AK143" s="155"/>
      <c r="AL143" s="155"/>
      <c r="AM143" s="155"/>
      <c r="AN143" s="155"/>
      <c r="AO143" s="155"/>
      <c r="AP143" s="155"/>
      <c r="AQ143" s="155"/>
    </row>
    <row r="144" spans="1:43" ht="13.5" customHeight="1">
      <c r="A144" s="160"/>
      <c r="B144" s="160"/>
      <c r="C144" s="16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45"/>
      <c r="AE144" s="150"/>
      <c r="AF144" s="154"/>
      <c r="AG144" s="154"/>
      <c r="AH144" s="155"/>
      <c r="AI144" s="155"/>
      <c r="AJ144" s="155"/>
      <c r="AK144" s="155"/>
      <c r="AL144" s="155"/>
      <c r="AM144" s="155"/>
      <c r="AN144" s="155"/>
      <c r="AO144" s="155"/>
      <c r="AP144" s="155"/>
      <c r="AQ144" s="155"/>
    </row>
    <row r="145" spans="1:43" ht="13.5" customHeight="1">
      <c r="A145" s="160"/>
      <c r="B145" s="160"/>
      <c r="C145" s="16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45"/>
      <c r="AE145" s="150"/>
      <c r="AF145" s="154"/>
      <c r="AG145" s="154"/>
      <c r="AH145" s="155"/>
      <c r="AI145" s="155"/>
      <c r="AJ145" s="155"/>
      <c r="AK145" s="155"/>
      <c r="AL145" s="155"/>
      <c r="AM145" s="155"/>
      <c r="AN145" s="155"/>
      <c r="AO145" s="155"/>
      <c r="AP145" s="155"/>
      <c r="AQ145" s="155"/>
    </row>
    <row r="146" spans="1:43" ht="13.5" customHeight="1">
      <c r="A146" s="160"/>
      <c r="B146" s="160"/>
      <c r="C146" s="16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45"/>
      <c r="AE146" s="150"/>
      <c r="AF146" s="154"/>
      <c r="AG146" s="154"/>
      <c r="AH146" s="155"/>
      <c r="AI146" s="155"/>
      <c r="AJ146" s="155"/>
      <c r="AK146" s="155"/>
      <c r="AL146" s="155"/>
      <c r="AM146" s="155"/>
      <c r="AN146" s="155"/>
      <c r="AO146" s="155"/>
      <c r="AP146" s="155"/>
      <c r="AQ146" s="155"/>
    </row>
    <row r="147" spans="1:43" ht="13.5" customHeight="1">
      <c r="A147" s="160"/>
      <c r="B147" s="160"/>
      <c r="C147" s="16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45"/>
      <c r="AE147" s="150"/>
      <c r="AF147" s="154"/>
      <c r="AG147" s="154"/>
      <c r="AH147" s="155"/>
      <c r="AI147" s="155"/>
      <c r="AJ147" s="155"/>
      <c r="AK147" s="155"/>
      <c r="AL147" s="155"/>
      <c r="AM147" s="155"/>
      <c r="AN147" s="155"/>
      <c r="AO147" s="155"/>
      <c r="AP147" s="155"/>
      <c r="AQ147" s="155"/>
    </row>
    <row r="148" spans="1:43" ht="13.5" customHeight="1">
      <c r="A148" s="160"/>
      <c r="B148" s="160"/>
      <c r="C148" s="16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45"/>
      <c r="AE148" s="150"/>
      <c r="AF148" s="154"/>
      <c r="AG148" s="154"/>
      <c r="AH148" s="155"/>
      <c r="AI148" s="155"/>
      <c r="AJ148" s="155"/>
      <c r="AK148" s="155"/>
      <c r="AL148" s="155"/>
      <c r="AM148" s="155"/>
      <c r="AN148" s="155"/>
      <c r="AO148" s="155"/>
      <c r="AP148" s="155"/>
      <c r="AQ148" s="155"/>
    </row>
    <row r="149" spans="1:43" ht="13.5" customHeight="1">
      <c r="A149" s="160"/>
      <c r="B149" s="160"/>
      <c r="C149" s="16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45"/>
      <c r="AE149" s="150"/>
      <c r="AF149" s="154"/>
      <c r="AG149" s="154"/>
      <c r="AH149" s="155"/>
      <c r="AI149" s="155"/>
      <c r="AJ149" s="155"/>
      <c r="AK149" s="155"/>
      <c r="AL149" s="155"/>
      <c r="AM149" s="155"/>
      <c r="AN149" s="155"/>
      <c r="AO149" s="155"/>
      <c r="AP149" s="155"/>
      <c r="AQ149" s="155"/>
    </row>
    <row r="150" spans="1:43" ht="13.5" customHeight="1">
      <c r="A150" s="160"/>
      <c r="B150" s="160"/>
      <c r="C150" s="16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45"/>
      <c r="AE150" s="150"/>
      <c r="AF150" s="154"/>
      <c r="AG150" s="154"/>
      <c r="AH150" s="155"/>
      <c r="AI150" s="155"/>
      <c r="AJ150" s="155"/>
      <c r="AK150" s="155"/>
      <c r="AL150" s="155"/>
      <c r="AM150" s="155"/>
      <c r="AN150" s="155"/>
      <c r="AO150" s="155"/>
      <c r="AP150" s="155"/>
      <c r="AQ150" s="155"/>
    </row>
    <row r="151" spans="1:43" ht="13.5" customHeight="1">
      <c r="A151" s="160"/>
      <c r="B151" s="160"/>
      <c r="C151" s="16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45"/>
      <c r="AE151" s="150"/>
      <c r="AF151" s="154"/>
      <c r="AG151" s="154"/>
      <c r="AH151" s="155"/>
      <c r="AI151" s="155"/>
      <c r="AJ151" s="155"/>
      <c r="AK151" s="155"/>
      <c r="AL151" s="155"/>
      <c r="AM151" s="155"/>
      <c r="AN151" s="155"/>
      <c r="AO151" s="155"/>
      <c r="AP151" s="155"/>
      <c r="AQ151" s="155"/>
    </row>
    <row r="152" spans="1:43" ht="13.5" customHeight="1">
      <c r="A152" s="160"/>
      <c r="B152" s="160"/>
      <c r="C152" s="16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45"/>
      <c r="AE152" s="150"/>
      <c r="AF152" s="154"/>
      <c r="AG152" s="154"/>
      <c r="AH152" s="155"/>
      <c r="AI152" s="155"/>
      <c r="AJ152" s="155"/>
      <c r="AK152" s="155"/>
      <c r="AL152" s="155"/>
      <c r="AM152" s="155"/>
      <c r="AN152" s="155"/>
      <c r="AO152" s="155"/>
      <c r="AP152" s="155"/>
      <c r="AQ152" s="155"/>
    </row>
    <row r="153" spans="1:43" ht="13.5" customHeight="1">
      <c r="A153" s="160"/>
      <c r="B153" s="160"/>
      <c r="C153" s="16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45"/>
      <c r="AE153" s="150"/>
      <c r="AF153" s="154"/>
      <c r="AG153" s="154"/>
      <c r="AH153" s="155"/>
      <c r="AI153" s="155"/>
      <c r="AJ153" s="155"/>
      <c r="AK153" s="155"/>
      <c r="AL153" s="155"/>
      <c r="AM153" s="155"/>
      <c r="AN153" s="155"/>
      <c r="AO153" s="155"/>
      <c r="AP153" s="155"/>
      <c r="AQ153" s="155"/>
    </row>
    <row r="154" spans="1:43" ht="13.5" customHeight="1">
      <c r="A154" s="160"/>
      <c r="B154" s="160"/>
      <c r="C154" s="16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45"/>
      <c r="AE154" s="150"/>
      <c r="AF154" s="154"/>
      <c r="AG154" s="154"/>
      <c r="AH154" s="155"/>
      <c r="AI154" s="155"/>
      <c r="AJ154" s="155"/>
      <c r="AK154" s="155"/>
      <c r="AL154" s="155"/>
      <c r="AM154" s="155"/>
      <c r="AN154" s="155"/>
      <c r="AO154" s="155"/>
      <c r="AP154" s="155"/>
      <c r="AQ154" s="155"/>
    </row>
    <row r="155" spans="1:43" ht="13.5" customHeight="1">
      <c r="A155" s="160"/>
      <c r="B155" s="160"/>
      <c r="C155" s="16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45"/>
      <c r="AE155" s="150"/>
      <c r="AF155" s="154"/>
      <c r="AG155" s="154"/>
      <c r="AH155" s="155"/>
      <c r="AI155" s="155"/>
      <c r="AJ155" s="155"/>
      <c r="AK155" s="155"/>
      <c r="AL155" s="155"/>
      <c r="AM155" s="155"/>
      <c r="AN155" s="155"/>
      <c r="AO155" s="155"/>
      <c r="AP155" s="155"/>
      <c r="AQ155" s="155"/>
    </row>
    <row r="156" spans="1:43" ht="13.5" customHeight="1">
      <c r="A156" s="160"/>
      <c r="B156" s="160"/>
      <c r="C156" s="16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45"/>
      <c r="AE156" s="150"/>
      <c r="AF156" s="154"/>
      <c r="AG156" s="154"/>
      <c r="AH156" s="155"/>
      <c r="AI156" s="155"/>
      <c r="AJ156" s="155"/>
      <c r="AK156" s="155"/>
      <c r="AL156" s="155"/>
      <c r="AM156" s="155"/>
      <c r="AN156" s="155"/>
      <c r="AO156" s="155"/>
      <c r="AP156" s="155"/>
      <c r="AQ156" s="155"/>
    </row>
    <row r="157" spans="1:43" ht="13.5" customHeight="1">
      <c r="A157" s="160"/>
      <c r="B157" s="160"/>
      <c r="C157" s="16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45"/>
      <c r="AE157" s="150"/>
      <c r="AF157" s="154"/>
      <c r="AG157" s="154"/>
      <c r="AH157" s="155"/>
      <c r="AI157" s="155"/>
      <c r="AJ157" s="155"/>
      <c r="AK157" s="155"/>
      <c r="AL157" s="155"/>
      <c r="AM157" s="155"/>
      <c r="AN157" s="155"/>
      <c r="AO157" s="155"/>
      <c r="AP157" s="155"/>
      <c r="AQ157" s="155"/>
    </row>
    <row r="158" spans="1:43" ht="13.5" customHeight="1">
      <c r="A158" s="160"/>
      <c r="B158" s="160"/>
      <c r="C158" s="16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45"/>
      <c r="AE158" s="150"/>
      <c r="AF158" s="154"/>
      <c r="AG158" s="154"/>
      <c r="AH158" s="155"/>
      <c r="AI158" s="155"/>
      <c r="AJ158" s="155"/>
      <c r="AK158" s="155"/>
      <c r="AL158" s="155"/>
      <c r="AM158" s="155"/>
      <c r="AN158" s="155"/>
      <c r="AO158" s="155"/>
      <c r="AP158" s="155"/>
      <c r="AQ158" s="155"/>
    </row>
    <row r="159" spans="1:43" ht="13.5" customHeight="1">
      <c r="A159" s="160"/>
      <c r="B159" s="160"/>
      <c r="C159" s="16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45"/>
      <c r="AE159" s="150"/>
      <c r="AF159" s="154"/>
      <c r="AG159" s="154"/>
      <c r="AH159" s="155"/>
      <c r="AI159" s="155"/>
      <c r="AJ159" s="155"/>
      <c r="AK159" s="155"/>
      <c r="AL159" s="155"/>
      <c r="AM159" s="155"/>
      <c r="AN159" s="155"/>
      <c r="AO159" s="155"/>
      <c r="AP159" s="155"/>
      <c r="AQ159" s="155"/>
    </row>
    <row r="160" spans="1:43" ht="13.5" customHeight="1">
      <c r="A160" s="160"/>
      <c r="B160" s="160"/>
      <c r="C160" s="16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45"/>
      <c r="AE160" s="150"/>
      <c r="AF160" s="154"/>
      <c r="AG160" s="154"/>
      <c r="AH160" s="155"/>
      <c r="AI160" s="155"/>
      <c r="AJ160" s="155"/>
      <c r="AK160" s="155"/>
      <c r="AL160" s="155"/>
      <c r="AM160" s="155"/>
      <c r="AN160" s="155"/>
      <c r="AO160" s="155"/>
      <c r="AP160" s="155"/>
      <c r="AQ160" s="155"/>
    </row>
    <row r="161" spans="1:43" ht="13.5" customHeight="1">
      <c r="A161" s="160"/>
      <c r="B161" s="160"/>
      <c r="C161" s="16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45"/>
      <c r="AE161" s="150"/>
      <c r="AF161" s="154"/>
      <c r="AG161" s="154"/>
      <c r="AH161" s="155"/>
      <c r="AI161" s="155"/>
      <c r="AJ161" s="155"/>
      <c r="AK161" s="155"/>
      <c r="AL161" s="155"/>
      <c r="AM161" s="155"/>
      <c r="AN161" s="155"/>
      <c r="AO161" s="155"/>
      <c r="AP161" s="155"/>
      <c r="AQ161" s="155"/>
    </row>
    <row r="162" spans="1:43" ht="13.5" customHeight="1">
      <c r="A162" s="160"/>
      <c r="B162" s="160"/>
      <c r="C162" s="16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45"/>
      <c r="AE162" s="150"/>
      <c r="AF162" s="154"/>
      <c r="AG162" s="154"/>
      <c r="AH162" s="155"/>
      <c r="AI162" s="155"/>
      <c r="AJ162" s="155"/>
      <c r="AK162" s="155"/>
      <c r="AL162" s="155"/>
      <c r="AM162" s="155"/>
      <c r="AN162" s="155"/>
      <c r="AO162" s="155"/>
      <c r="AP162" s="155"/>
      <c r="AQ162" s="155"/>
    </row>
    <row r="163" spans="1:43" ht="13.5" customHeight="1">
      <c r="A163" s="160"/>
      <c r="B163" s="160"/>
      <c r="C163" s="16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45"/>
      <c r="AE163" s="150"/>
      <c r="AF163" s="154"/>
      <c r="AG163" s="154"/>
      <c r="AH163" s="155"/>
      <c r="AI163" s="155"/>
      <c r="AJ163" s="155"/>
      <c r="AK163" s="155"/>
      <c r="AL163" s="155"/>
      <c r="AM163" s="155"/>
      <c r="AN163" s="155"/>
      <c r="AO163" s="155"/>
      <c r="AP163" s="155"/>
      <c r="AQ163" s="155"/>
    </row>
    <row r="164" spans="1:43" ht="13.5" customHeight="1">
      <c r="A164" s="160"/>
      <c r="B164" s="160"/>
      <c r="C164" s="16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45"/>
      <c r="AE164" s="150"/>
      <c r="AF164" s="154"/>
      <c r="AG164" s="154"/>
      <c r="AH164" s="155"/>
      <c r="AI164" s="155"/>
      <c r="AJ164" s="155"/>
      <c r="AK164" s="155"/>
      <c r="AL164" s="155"/>
      <c r="AM164" s="155"/>
      <c r="AN164" s="155"/>
      <c r="AO164" s="155"/>
      <c r="AP164" s="155"/>
      <c r="AQ164" s="155"/>
    </row>
    <row r="165" spans="1:43" ht="13.5" customHeight="1">
      <c r="A165" s="160"/>
      <c r="B165" s="160"/>
      <c r="C165" s="16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45"/>
      <c r="AE165" s="150"/>
      <c r="AF165" s="154"/>
      <c r="AG165" s="154"/>
      <c r="AH165" s="155"/>
      <c r="AI165" s="155"/>
      <c r="AJ165" s="155"/>
      <c r="AK165" s="155"/>
      <c r="AL165" s="155"/>
      <c r="AM165" s="155"/>
      <c r="AN165" s="155"/>
      <c r="AO165" s="155"/>
      <c r="AP165" s="155"/>
      <c r="AQ165" s="155"/>
    </row>
    <row r="166" spans="1:43" ht="13.5" customHeight="1">
      <c r="A166" s="160"/>
      <c r="B166" s="160"/>
      <c r="C166" s="16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45"/>
      <c r="AE166" s="150"/>
      <c r="AF166" s="154"/>
      <c r="AG166" s="154"/>
      <c r="AH166" s="155"/>
      <c r="AI166" s="155"/>
      <c r="AJ166" s="155"/>
      <c r="AK166" s="155"/>
      <c r="AL166" s="155"/>
      <c r="AM166" s="155"/>
      <c r="AN166" s="155"/>
      <c r="AO166" s="155"/>
      <c r="AP166" s="155"/>
      <c r="AQ166" s="155"/>
    </row>
    <row r="167" spans="1:43" ht="13.5" customHeight="1">
      <c r="A167" s="160"/>
      <c r="B167" s="160"/>
      <c r="C167" s="16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45"/>
      <c r="AE167" s="150"/>
      <c r="AF167" s="154"/>
      <c r="AG167" s="154"/>
      <c r="AH167" s="155"/>
      <c r="AI167" s="155"/>
      <c r="AJ167" s="155"/>
      <c r="AK167" s="155"/>
      <c r="AL167" s="155"/>
      <c r="AM167" s="155"/>
      <c r="AN167" s="155"/>
      <c r="AO167" s="155"/>
      <c r="AP167" s="155"/>
      <c r="AQ167" s="155"/>
    </row>
    <row r="168" spans="1:43" ht="13.5" customHeight="1">
      <c r="A168" s="160"/>
      <c r="B168" s="160"/>
      <c r="C168" s="16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45"/>
      <c r="AE168" s="150"/>
      <c r="AF168" s="154"/>
      <c r="AG168" s="154"/>
      <c r="AH168" s="155"/>
      <c r="AI168" s="155"/>
      <c r="AJ168" s="155"/>
      <c r="AK168" s="155"/>
      <c r="AL168" s="155"/>
      <c r="AM168" s="155"/>
      <c r="AN168" s="155"/>
      <c r="AO168" s="155"/>
      <c r="AP168" s="155"/>
      <c r="AQ168" s="155"/>
    </row>
    <row r="169" spans="1:43" ht="13.5" customHeight="1">
      <c r="A169" s="160"/>
      <c r="B169" s="160"/>
      <c r="C169" s="16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45"/>
      <c r="AE169" s="150"/>
      <c r="AF169" s="154"/>
      <c r="AG169" s="154"/>
      <c r="AH169" s="155"/>
      <c r="AI169" s="155"/>
      <c r="AJ169" s="155"/>
      <c r="AK169" s="155"/>
      <c r="AL169" s="155"/>
      <c r="AM169" s="155"/>
      <c r="AN169" s="155"/>
      <c r="AO169" s="155"/>
      <c r="AP169" s="155"/>
      <c r="AQ169" s="155"/>
    </row>
    <row r="170" spans="1:43" ht="13.5" customHeight="1">
      <c r="A170" s="160"/>
      <c r="B170" s="160"/>
      <c r="C170" s="16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45"/>
      <c r="AE170" s="150"/>
      <c r="AF170" s="154"/>
      <c r="AG170" s="154"/>
      <c r="AH170" s="155"/>
      <c r="AI170" s="155"/>
      <c r="AJ170" s="155"/>
      <c r="AK170" s="155"/>
      <c r="AL170" s="155"/>
      <c r="AM170" s="155"/>
      <c r="AN170" s="155"/>
      <c r="AO170" s="155"/>
      <c r="AP170" s="155"/>
      <c r="AQ170" s="155"/>
    </row>
    <row r="171" spans="1:43" ht="13.5" customHeight="1">
      <c r="A171" s="160"/>
      <c r="B171" s="160"/>
      <c r="C171" s="16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45"/>
      <c r="AE171" s="150"/>
      <c r="AF171" s="154"/>
      <c r="AG171" s="154"/>
      <c r="AH171" s="155"/>
      <c r="AI171" s="155"/>
      <c r="AJ171" s="155"/>
      <c r="AK171" s="155"/>
      <c r="AL171" s="155"/>
      <c r="AM171" s="155"/>
      <c r="AN171" s="155"/>
      <c r="AO171" s="155"/>
      <c r="AP171" s="155"/>
      <c r="AQ171" s="155"/>
    </row>
    <row r="172" spans="1:43" ht="13.5" customHeight="1">
      <c r="A172" s="160"/>
      <c r="B172" s="160"/>
      <c r="C172" s="16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45"/>
      <c r="AE172" s="150"/>
      <c r="AF172" s="154"/>
      <c r="AG172" s="154"/>
      <c r="AH172" s="155"/>
      <c r="AI172" s="155"/>
      <c r="AJ172" s="155"/>
      <c r="AK172" s="155"/>
      <c r="AL172" s="155"/>
      <c r="AM172" s="155"/>
      <c r="AN172" s="155"/>
      <c r="AO172" s="155"/>
      <c r="AP172" s="155"/>
      <c r="AQ172" s="155"/>
    </row>
    <row r="173" spans="1:43" ht="13.5" customHeight="1">
      <c r="A173" s="160"/>
      <c r="B173" s="160"/>
      <c r="C173" s="16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45"/>
      <c r="AE173" s="150"/>
      <c r="AF173" s="154"/>
      <c r="AG173" s="154"/>
      <c r="AH173" s="155"/>
      <c r="AI173" s="155"/>
      <c r="AJ173" s="155"/>
      <c r="AK173" s="155"/>
      <c r="AL173" s="155"/>
      <c r="AM173" s="155"/>
      <c r="AN173" s="155"/>
      <c r="AO173" s="155"/>
      <c r="AP173" s="155"/>
      <c r="AQ173" s="155"/>
    </row>
    <row r="174" spans="1:43" ht="13.5" customHeight="1">
      <c r="A174" s="160"/>
      <c r="B174" s="160"/>
      <c r="C174" s="16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45"/>
      <c r="AE174" s="150"/>
      <c r="AF174" s="154"/>
      <c r="AG174" s="154"/>
      <c r="AH174" s="155"/>
      <c r="AI174" s="155"/>
      <c r="AJ174" s="155"/>
      <c r="AK174" s="155"/>
      <c r="AL174" s="155"/>
      <c r="AM174" s="155"/>
      <c r="AN174" s="155"/>
      <c r="AO174" s="155"/>
      <c r="AP174" s="155"/>
      <c r="AQ174" s="155"/>
    </row>
    <row r="175" spans="1:43" ht="13.5" customHeight="1">
      <c r="A175" s="160"/>
      <c r="B175" s="160"/>
      <c r="C175" s="16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45"/>
      <c r="AE175" s="150"/>
      <c r="AF175" s="154"/>
      <c r="AG175" s="154"/>
      <c r="AH175" s="155"/>
      <c r="AI175" s="155"/>
      <c r="AJ175" s="155"/>
      <c r="AK175" s="155"/>
      <c r="AL175" s="155"/>
      <c r="AM175" s="155"/>
      <c r="AN175" s="155"/>
      <c r="AO175" s="155"/>
      <c r="AP175" s="155"/>
      <c r="AQ175" s="155"/>
    </row>
    <row r="176" spans="1:43" ht="13.5" customHeight="1">
      <c r="A176" s="160"/>
      <c r="B176" s="160"/>
      <c r="C176" s="16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45"/>
      <c r="AE176" s="150"/>
      <c r="AF176" s="154"/>
      <c r="AG176" s="154"/>
      <c r="AH176" s="155"/>
      <c r="AI176" s="155"/>
      <c r="AJ176" s="155"/>
      <c r="AK176" s="155"/>
      <c r="AL176" s="155"/>
      <c r="AM176" s="155"/>
      <c r="AN176" s="155"/>
      <c r="AO176" s="155"/>
      <c r="AP176" s="155"/>
      <c r="AQ176" s="155"/>
    </row>
    <row r="177" spans="1:43" ht="13.5" customHeight="1">
      <c r="A177" s="160"/>
      <c r="B177" s="160"/>
      <c r="C177" s="16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45"/>
      <c r="AE177" s="150"/>
      <c r="AF177" s="154"/>
      <c r="AG177" s="154"/>
      <c r="AH177" s="155"/>
      <c r="AI177" s="155"/>
      <c r="AJ177" s="155"/>
      <c r="AK177" s="155"/>
      <c r="AL177" s="155"/>
      <c r="AM177" s="155"/>
      <c r="AN177" s="155"/>
      <c r="AO177" s="155"/>
      <c r="AP177" s="155"/>
      <c r="AQ177" s="155"/>
    </row>
    <row r="178" spans="1:43" ht="13.5" customHeight="1">
      <c r="A178" s="160"/>
      <c r="B178" s="160"/>
      <c r="C178" s="16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45"/>
      <c r="AE178" s="150"/>
      <c r="AF178" s="154"/>
      <c r="AG178" s="154"/>
      <c r="AH178" s="155"/>
      <c r="AI178" s="155"/>
      <c r="AJ178" s="155"/>
      <c r="AK178" s="155"/>
      <c r="AL178" s="155"/>
      <c r="AM178" s="155"/>
      <c r="AN178" s="155"/>
      <c r="AO178" s="155"/>
      <c r="AP178" s="155"/>
      <c r="AQ178" s="155"/>
    </row>
    <row r="179" spans="1:43" ht="13.5" customHeight="1">
      <c r="A179" s="160"/>
      <c r="B179" s="160"/>
      <c r="C179" s="16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45"/>
      <c r="AE179" s="150"/>
      <c r="AF179" s="154"/>
      <c r="AG179" s="154"/>
      <c r="AH179" s="155"/>
      <c r="AI179" s="155"/>
      <c r="AJ179" s="155"/>
      <c r="AK179" s="155"/>
      <c r="AL179" s="155"/>
      <c r="AM179" s="155"/>
      <c r="AN179" s="155"/>
      <c r="AO179" s="155"/>
      <c r="AP179" s="155"/>
      <c r="AQ179" s="155"/>
    </row>
    <row r="180" spans="1:43" ht="13.5" customHeight="1">
      <c r="A180" s="160"/>
      <c r="B180" s="160"/>
      <c r="C180" s="16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45"/>
      <c r="AE180" s="150"/>
      <c r="AF180" s="154"/>
      <c r="AG180" s="154"/>
      <c r="AH180" s="155"/>
      <c r="AI180" s="155"/>
      <c r="AJ180" s="155"/>
      <c r="AK180" s="155"/>
      <c r="AL180" s="155"/>
      <c r="AM180" s="155"/>
      <c r="AN180" s="155"/>
      <c r="AO180" s="155"/>
      <c r="AP180" s="155"/>
      <c r="AQ180" s="155"/>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6" fitToHeight="0" orientation="portrait" horizontalDpi="4294967293" verticalDpi="4294967293"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sheetPr>
  <dimension ref="A1:CU84"/>
  <sheetViews>
    <sheetView view="pageBreakPreview" zoomScaleNormal="100" zoomScaleSheetLayoutView="100" workbookViewId="0">
      <pane xSplit="1" topLeftCell="B1" activePane="topRight" state="frozen"/>
      <selection pane="topRight" activeCell="AQ24" sqref="AQ24"/>
    </sheetView>
  </sheetViews>
  <sheetFormatPr defaultColWidth="8.7109375" defaultRowHeight="15" outlineLevelCol="1"/>
  <cols>
    <col min="1" max="2" width="41.140625" style="105" customWidth="1"/>
    <col min="3" max="3" width="2.28515625" style="105" hidden="1" customWidth="1"/>
    <col min="4" max="29" width="12.7109375" style="95" hidden="1" customWidth="1" outlineLevel="1"/>
    <col min="30" max="30" width="12.7109375" style="96" hidden="1" customWidth="1" outlineLevel="1"/>
    <col min="31" max="31" width="12.7109375" style="95" hidden="1" customWidth="1" outlineLevel="1"/>
    <col min="32" max="33" width="12.7109375" style="97" hidden="1" customWidth="1" outlineLevel="1"/>
    <col min="34" max="35" width="12.7109375" style="98" hidden="1" customWidth="1" outlineLevel="1"/>
    <col min="36" max="36" width="12.7109375" style="98" customWidth="1" collapsed="1"/>
    <col min="37" max="39" width="12.7109375" style="98" customWidth="1"/>
    <col min="40" max="40" width="12.7109375" style="1240" customWidth="1"/>
    <col min="41" max="43" width="12.7109375" style="98" customWidth="1"/>
    <col min="44" max="44" width="12.7109375" style="214" customWidth="1"/>
    <col min="45" max="99" width="8.7109375" style="215"/>
    <col min="100" max="16384" width="8.7109375" style="96"/>
  </cols>
  <sheetData>
    <row r="1" spans="1:99" ht="20.100000000000001" customHeight="1">
      <c r="A1" s="450" t="s">
        <v>3</v>
      </c>
      <c r="B1" s="450" t="s">
        <v>143</v>
      </c>
      <c r="C1" s="450"/>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51"/>
      <c r="AE1" s="405"/>
      <c r="AF1" s="452"/>
      <c r="AG1" s="452"/>
      <c r="AH1" s="108"/>
      <c r="AI1" s="286"/>
      <c r="AJ1" s="108"/>
      <c r="AK1" s="108"/>
      <c r="AL1" s="108"/>
      <c r="AM1" s="108"/>
      <c r="AN1" s="1241"/>
      <c r="AO1" s="108"/>
      <c r="AP1" s="108"/>
      <c r="AQ1" s="392" t="s">
        <v>800</v>
      </c>
    </row>
    <row r="2" spans="1:99" ht="20.100000000000001" customHeight="1">
      <c r="A2" s="450"/>
      <c r="B2" s="450"/>
      <c r="C2" s="450"/>
      <c r="D2" s="405"/>
      <c r="E2" s="405"/>
      <c r="F2" s="405"/>
      <c r="G2" s="405"/>
      <c r="H2" s="405"/>
      <c r="I2" s="405"/>
      <c r="J2" s="405"/>
      <c r="K2" s="405"/>
      <c r="L2" s="405"/>
      <c r="M2" s="405"/>
      <c r="N2" s="405"/>
      <c r="O2" s="405"/>
      <c r="P2" s="390" t="s">
        <v>108</v>
      </c>
      <c r="Q2" s="390" t="s">
        <v>108</v>
      </c>
      <c r="R2" s="390" t="s">
        <v>108</v>
      </c>
      <c r="S2" s="390" t="s">
        <v>108</v>
      </c>
      <c r="T2" s="390" t="s">
        <v>108</v>
      </c>
      <c r="U2" s="390" t="s">
        <v>108</v>
      </c>
      <c r="V2" s="390" t="s">
        <v>108</v>
      </c>
      <c r="W2" s="405"/>
      <c r="X2" s="405"/>
      <c r="Y2" s="405"/>
      <c r="Z2" s="405"/>
      <c r="AA2" s="405"/>
      <c r="AB2" s="405"/>
      <c r="AC2" s="405"/>
      <c r="AD2" s="451"/>
      <c r="AE2" s="405"/>
      <c r="AF2" s="452"/>
      <c r="AG2" s="452"/>
      <c r="AH2" s="108"/>
      <c r="AI2" s="286"/>
      <c r="AJ2" s="108"/>
      <c r="AK2" s="108"/>
      <c r="AL2" s="108"/>
      <c r="AM2" s="108"/>
      <c r="AN2" s="1241"/>
      <c r="AO2" s="108"/>
      <c r="AP2" s="108"/>
      <c r="AQ2" s="392" t="s">
        <v>801</v>
      </c>
    </row>
    <row r="3" spans="1:99" s="12" customFormat="1" ht="15.75" thickBot="1">
      <c r="A3" s="389" t="s">
        <v>252</v>
      </c>
      <c r="B3" s="389" t="s">
        <v>253</v>
      </c>
      <c r="C3" s="389"/>
      <c r="D3" s="4"/>
      <c r="E3" s="4"/>
      <c r="F3" s="4"/>
      <c r="G3" s="4"/>
      <c r="H3" s="4"/>
      <c r="I3" s="4"/>
      <c r="J3" s="4"/>
      <c r="K3" s="4"/>
      <c r="L3" s="4"/>
      <c r="M3" s="4"/>
      <c r="N3" s="4"/>
      <c r="O3" s="4"/>
      <c r="P3" s="453" t="s">
        <v>109</v>
      </c>
      <c r="Q3" s="453" t="s">
        <v>109</v>
      </c>
      <c r="R3" s="453" t="s">
        <v>109</v>
      </c>
      <c r="S3" s="453" t="s">
        <v>109</v>
      </c>
      <c r="T3" s="453" t="s">
        <v>109</v>
      </c>
      <c r="U3" s="453" t="s">
        <v>109</v>
      </c>
      <c r="V3" s="453" t="s">
        <v>109</v>
      </c>
      <c r="W3" s="454"/>
      <c r="X3" s="454"/>
      <c r="Y3" s="4"/>
      <c r="Z3" s="4"/>
      <c r="AA3" s="4"/>
      <c r="AB3" s="4"/>
      <c r="AC3" s="4"/>
      <c r="AE3" s="4"/>
      <c r="AF3" s="6"/>
      <c r="AG3" s="6"/>
      <c r="AH3" s="13"/>
      <c r="AI3" s="286"/>
      <c r="AJ3" s="108"/>
      <c r="AK3" s="13"/>
      <c r="AL3" s="13"/>
      <c r="AM3" s="13"/>
      <c r="AN3" s="1238"/>
      <c r="AO3" s="13"/>
      <c r="AP3" s="13"/>
      <c r="AQ3" s="13"/>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row>
    <row r="4" spans="1:99" s="48" customFormat="1" ht="16.5" customHeight="1" thickBot="1">
      <c r="A4" s="343" t="s">
        <v>391</v>
      </c>
      <c r="B4" s="305" t="s">
        <v>180</v>
      </c>
      <c r="C4" s="305"/>
      <c r="D4" s="305" t="s">
        <v>24</v>
      </c>
      <c r="E4" s="305" t="s">
        <v>25</v>
      </c>
      <c r="F4" s="305" t="s">
        <v>26</v>
      </c>
      <c r="G4" s="305" t="s">
        <v>27</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305" t="s">
        <v>43</v>
      </c>
      <c r="X4" s="305" t="s">
        <v>110</v>
      </c>
      <c r="Y4" s="305" t="s">
        <v>111</v>
      </c>
      <c r="Z4" s="305" t="s">
        <v>113</v>
      </c>
      <c r="AA4" s="305" t="s">
        <v>120</v>
      </c>
      <c r="AB4" s="305" t="s">
        <v>114</v>
      </c>
      <c r="AC4" s="305" t="s">
        <v>116</v>
      </c>
      <c r="AD4" s="305" t="s">
        <v>117</v>
      </c>
      <c r="AE4" s="305" t="s">
        <v>119</v>
      </c>
      <c r="AF4" s="306" t="s">
        <v>121</v>
      </c>
      <c r="AG4" s="306" t="s">
        <v>123</v>
      </c>
      <c r="AH4" s="306" t="s">
        <v>124</v>
      </c>
      <c r="AI4" s="306" t="s">
        <v>125</v>
      </c>
      <c r="AJ4" s="306" t="s">
        <v>127</v>
      </c>
      <c r="AK4" s="306" t="s">
        <v>128</v>
      </c>
      <c r="AL4" s="306" t="s">
        <v>129</v>
      </c>
      <c r="AM4" s="306" t="s">
        <v>130</v>
      </c>
      <c r="AN4" s="1252" t="s">
        <v>131</v>
      </c>
      <c r="AO4" s="306" t="s">
        <v>223</v>
      </c>
      <c r="AP4" s="306" t="s">
        <v>224</v>
      </c>
      <c r="AQ4" s="344" t="s">
        <v>511</v>
      </c>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row>
    <row r="5" spans="1:99" s="12" customFormat="1" ht="27">
      <c r="A5" s="478" t="s">
        <v>243</v>
      </c>
      <c r="B5" s="479" t="s">
        <v>450</v>
      </c>
      <c r="C5" s="479"/>
      <c r="D5" s="446">
        <v>54.767000000000003</v>
      </c>
      <c r="E5" s="446">
        <v>39.55899999999999</v>
      </c>
      <c r="F5" s="446">
        <v>32.286000000000001</v>
      </c>
      <c r="G5" s="446">
        <v>32.65</v>
      </c>
      <c r="H5" s="446">
        <v>35.643999999999998</v>
      </c>
      <c r="I5" s="446">
        <v>36.961000000000006</v>
      </c>
      <c r="J5" s="446">
        <v>36.896000000000001</v>
      </c>
      <c r="K5" s="446">
        <v>38.993000000000002</v>
      </c>
      <c r="L5" s="446">
        <v>46.018999999999998</v>
      </c>
      <c r="M5" s="446">
        <v>50.939</v>
      </c>
      <c r="N5" s="446">
        <v>59.149000000000001</v>
      </c>
      <c r="O5" s="446">
        <v>62.624000000000002</v>
      </c>
      <c r="P5" s="446">
        <v>59.536999999999999</v>
      </c>
      <c r="Q5" s="446">
        <v>59.785000000000004</v>
      </c>
      <c r="R5" s="446">
        <v>65.959999999999994</v>
      </c>
      <c r="S5" s="446">
        <v>64.901999999999987</v>
      </c>
      <c r="T5" s="446">
        <v>52.478000000000002</v>
      </c>
      <c r="U5" s="446">
        <v>43.371999999999993</v>
      </c>
      <c r="V5" s="446">
        <f>0.531+34.622</f>
        <v>35.152999999999999</v>
      </c>
      <c r="W5" s="446">
        <v>37.09400000000003</v>
      </c>
      <c r="X5" s="446">
        <v>36.600999999999999</v>
      </c>
      <c r="Y5" s="446">
        <v>47.418999999999997</v>
      </c>
      <c r="Z5" s="446">
        <f>9.594+37.151</f>
        <v>46.745000000000005</v>
      </c>
      <c r="AA5" s="446">
        <v>16.561000000000021</v>
      </c>
      <c r="AB5" s="446">
        <v>28.097000000000001</v>
      </c>
      <c r="AC5" s="446">
        <v>3.645</v>
      </c>
      <c r="AD5" s="446">
        <f>1.533+23.5</f>
        <v>25.033000000000001</v>
      </c>
      <c r="AE5" s="446">
        <v>54.024999999999999</v>
      </c>
      <c r="AF5" s="446">
        <f>5+23</f>
        <v>28</v>
      </c>
      <c r="AG5" s="446">
        <v>23</v>
      </c>
      <c r="AH5" s="446">
        <v>28</v>
      </c>
      <c r="AI5" s="446">
        <v>43</v>
      </c>
      <c r="AJ5" s="446">
        <f>45-15</f>
        <v>30</v>
      </c>
      <c r="AK5" s="446">
        <v>27</v>
      </c>
      <c r="AL5" s="446">
        <v>36</v>
      </c>
      <c r="AM5" s="446">
        <v>43</v>
      </c>
      <c r="AN5" s="1273">
        <v>25</v>
      </c>
      <c r="AO5" s="1273">
        <v>19</v>
      </c>
      <c r="AP5" s="1273">
        <v>22</v>
      </c>
      <c r="AQ5" s="1274">
        <v>26</v>
      </c>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row>
    <row r="6" spans="1:99" s="12" customFormat="1">
      <c r="A6" s="457" t="s">
        <v>446</v>
      </c>
      <c r="B6" s="458" t="s">
        <v>456</v>
      </c>
      <c r="C6" s="458"/>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60"/>
      <c r="AJ6" s="461"/>
      <c r="AK6" s="461">
        <v>0</v>
      </c>
      <c r="AL6" s="461"/>
      <c r="AM6" s="461"/>
      <c r="AN6" s="1265">
        <v>25</v>
      </c>
      <c r="AO6" s="1265">
        <v>19</v>
      </c>
      <c r="AP6" s="1265">
        <v>22</v>
      </c>
      <c r="AQ6" s="1266">
        <v>26</v>
      </c>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row>
    <row r="7" spans="1:99" s="12" customFormat="1">
      <c r="A7" s="422" t="s">
        <v>244</v>
      </c>
      <c r="B7" s="423" t="s">
        <v>475</v>
      </c>
      <c r="C7" s="423"/>
      <c r="D7" s="411">
        <v>0</v>
      </c>
      <c r="E7" s="411">
        <v>78.37</v>
      </c>
      <c r="F7" s="411">
        <v>173.93799999999999</v>
      </c>
      <c r="G7" s="411">
        <v>151.59100000000001</v>
      </c>
      <c r="H7" s="411">
        <v>154.94499999999999</v>
      </c>
      <c r="I7" s="411">
        <v>153.46600000000001</v>
      </c>
      <c r="J7" s="411">
        <v>185.19900000000001</v>
      </c>
      <c r="K7" s="411">
        <v>155.50599999999997</v>
      </c>
      <c r="L7" s="411">
        <v>171.22900000000001</v>
      </c>
      <c r="M7" s="411">
        <v>179.91599999999997</v>
      </c>
      <c r="N7" s="411">
        <v>207.965</v>
      </c>
      <c r="O7" s="411">
        <v>255.16499999999999</v>
      </c>
      <c r="P7" s="411">
        <v>245</v>
      </c>
      <c r="Q7" s="411">
        <v>221.21699999999998</v>
      </c>
      <c r="R7" s="411">
        <v>227.83600000000001</v>
      </c>
      <c r="S7" s="411">
        <v>176.39700000000005</v>
      </c>
      <c r="T7" s="411">
        <v>148.16800000000001</v>
      </c>
      <c r="U7" s="411">
        <v>122.17599999999999</v>
      </c>
      <c r="V7" s="411">
        <v>98.503</v>
      </c>
      <c r="W7" s="411">
        <v>85.43100000000004</v>
      </c>
      <c r="X7" s="411">
        <v>88.197000000000003</v>
      </c>
      <c r="Y7" s="411">
        <v>82.917000000000002</v>
      </c>
      <c r="Z7" s="411">
        <v>84.26</v>
      </c>
      <c r="AA7" s="411">
        <v>87.941999999999979</v>
      </c>
      <c r="AB7" s="411">
        <v>95.483000000000004</v>
      </c>
      <c r="AC7" s="411">
        <v>116.752</v>
      </c>
      <c r="AD7" s="411">
        <v>124.976</v>
      </c>
      <c r="AE7" s="411">
        <v>113.68899999999996</v>
      </c>
      <c r="AF7" s="411">
        <v>95</v>
      </c>
      <c r="AG7" s="411">
        <v>87</v>
      </c>
      <c r="AH7" s="411">
        <v>78</v>
      </c>
      <c r="AI7" s="411">
        <v>80</v>
      </c>
      <c r="AJ7" s="411">
        <v>69</v>
      </c>
      <c r="AK7" s="411">
        <v>74</v>
      </c>
      <c r="AL7" s="411">
        <v>87</v>
      </c>
      <c r="AM7" s="411">
        <v>92</v>
      </c>
      <c r="AN7" s="1259">
        <v>91</v>
      </c>
      <c r="AO7" s="1259">
        <v>86</v>
      </c>
      <c r="AP7" s="1259">
        <v>86</v>
      </c>
      <c r="AQ7" s="1261">
        <v>92</v>
      </c>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row>
    <row r="8" spans="1:99" s="62" customFormat="1" ht="24">
      <c r="A8" s="457" t="s">
        <v>448</v>
      </c>
      <c r="B8" s="458" t="s">
        <v>454</v>
      </c>
      <c r="C8" s="458"/>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4"/>
      <c r="AJ8" s="465"/>
      <c r="AK8" s="465">
        <v>0</v>
      </c>
      <c r="AL8" s="465"/>
      <c r="AM8" s="465"/>
      <c r="AN8" s="1268">
        <v>91</v>
      </c>
      <c r="AO8" s="1268">
        <v>86</v>
      </c>
      <c r="AP8" s="1268">
        <v>86</v>
      </c>
      <c r="AQ8" s="1269">
        <v>92</v>
      </c>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row>
    <row r="9" spans="1:99" s="12" customFormat="1">
      <c r="A9" s="422" t="s">
        <v>245</v>
      </c>
      <c r="B9" s="423" t="s">
        <v>453</v>
      </c>
      <c r="C9" s="423"/>
      <c r="D9" s="413">
        <v>209.24700000000001</v>
      </c>
      <c r="E9" s="413">
        <v>207.67099999999999</v>
      </c>
      <c r="F9" s="413">
        <v>226.78900000000002</v>
      </c>
      <c r="G9" s="413">
        <v>250.14199999999997</v>
      </c>
      <c r="H9" s="413">
        <v>274.69000000000005</v>
      </c>
      <c r="I9" s="413">
        <v>270.03699999999998</v>
      </c>
      <c r="J9" s="413">
        <v>264.084</v>
      </c>
      <c r="K9" s="413">
        <v>272.78900000000004</v>
      </c>
      <c r="L9" s="413">
        <v>272.00100000000003</v>
      </c>
      <c r="M9" s="413">
        <v>277.35699999999997</v>
      </c>
      <c r="N9" s="413">
        <v>324.30699999999996</v>
      </c>
      <c r="O9" s="413">
        <v>339.63799999999998</v>
      </c>
      <c r="P9" s="413">
        <v>372.94800000000004</v>
      </c>
      <c r="Q9" s="413">
        <v>395.89100000000002</v>
      </c>
      <c r="R9" s="413">
        <v>352.20499999999998</v>
      </c>
      <c r="S9" s="413">
        <v>364.58600000000007</v>
      </c>
      <c r="T9" s="413">
        <v>308.06</v>
      </c>
      <c r="U9" s="413">
        <v>274.63500000000005</v>
      </c>
      <c r="V9" s="413">
        <v>247.98699999999999</v>
      </c>
      <c r="W9" s="413">
        <v>243.83799999999997</v>
      </c>
      <c r="X9" s="413">
        <v>245.52399999999997</v>
      </c>
      <c r="Y9" s="413">
        <v>271.43500000000006</v>
      </c>
      <c r="Z9" s="413">
        <v>291.20100000000002</v>
      </c>
      <c r="AA9" s="413">
        <v>282.32899999999989</v>
      </c>
      <c r="AB9" s="413">
        <v>261.017</v>
      </c>
      <c r="AC9" s="413">
        <v>243.65200000000002</v>
      </c>
      <c r="AD9" s="413">
        <v>245.76499999999999</v>
      </c>
      <c r="AE9" s="413">
        <v>230.76600000000008</v>
      </c>
      <c r="AF9" s="413">
        <v>267</v>
      </c>
      <c r="AG9" s="413">
        <v>278</v>
      </c>
      <c r="AH9" s="413">
        <v>292</v>
      </c>
      <c r="AI9" s="413">
        <v>298</v>
      </c>
      <c r="AJ9" s="413">
        <v>317</v>
      </c>
      <c r="AK9" s="413">
        <v>344</v>
      </c>
      <c r="AL9" s="413">
        <v>310</v>
      </c>
      <c r="AM9" s="413">
        <v>307</v>
      </c>
      <c r="AN9" s="1259">
        <v>338</v>
      </c>
      <c r="AO9" s="1259">
        <v>336</v>
      </c>
      <c r="AP9" s="1259">
        <v>348</v>
      </c>
      <c r="AQ9" s="1259">
        <v>389</v>
      </c>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row>
    <row r="10" spans="1:99" s="12" customFormat="1">
      <c r="A10" s="457" t="s">
        <v>446</v>
      </c>
      <c r="B10" s="458" t="s">
        <v>456</v>
      </c>
      <c r="C10" s="458"/>
      <c r="D10" s="467" t="s">
        <v>133</v>
      </c>
      <c r="E10" s="467" t="s">
        <v>133</v>
      </c>
      <c r="F10" s="467" t="s">
        <v>133</v>
      </c>
      <c r="G10" s="467" t="s">
        <v>133</v>
      </c>
      <c r="H10" s="467" t="s">
        <v>133</v>
      </c>
      <c r="I10" s="467" t="s">
        <v>133</v>
      </c>
      <c r="J10" s="467" t="s">
        <v>133</v>
      </c>
      <c r="K10" s="467" t="s">
        <v>133</v>
      </c>
      <c r="L10" s="467" t="s">
        <v>133</v>
      </c>
      <c r="M10" s="467" t="s">
        <v>133</v>
      </c>
      <c r="N10" s="467" t="s">
        <v>133</v>
      </c>
      <c r="O10" s="467" t="s">
        <v>133</v>
      </c>
      <c r="P10" s="467" t="s">
        <v>133</v>
      </c>
      <c r="Q10" s="467" t="s">
        <v>133</v>
      </c>
      <c r="R10" s="467" t="s">
        <v>133</v>
      </c>
      <c r="S10" s="467" t="s">
        <v>133</v>
      </c>
      <c r="T10" s="467" t="s">
        <v>133</v>
      </c>
      <c r="U10" s="467" t="s">
        <v>133</v>
      </c>
      <c r="V10" s="467" t="s">
        <v>133</v>
      </c>
      <c r="W10" s="467" t="s">
        <v>133</v>
      </c>
      <c r="X10" s="467" t="s">
        <v>133</v>
      </c>
      <c r="Y10" s="467" t="s">
        <v>133</v>
      </c>
      <c r="Z10" s="467" t="s">
        <v>133</v>
      </c>
      <c r="AA10" s="467" t="s">
        <v>133</v>
      </c>
      <c r="AB10" s="467" t="s">
        <v>133</v>
      </c>
      <c r="AC10" s="467" t="s">
        <v>133</v>
      </c>
      <c r="AD10" s="467" t="s">
        <v>133</v>
      </c>
      <c r="AE10" s="467" t="s">
        <v>133</v>
      </c>
      <c r="AF10" s="467" t="s">
        <v>133</v>
      </c>
      <c r="AG10" s="467" t="s">
        <v>133</v>
      </c>
      <c r="AH10" s="467" t="s">
        <v>133</v>
      </c>
      <c r="AI10" s="467" t="s">
        <v>133</v>
      </c>
      <c r="AJ10" s="467" t="s">
        <v>133</v>
      </c>
      <c r="AK10" s="467" t="s">
        <v>133</v>
      </c>
      <c r="AL10" s="467" t="s">
        <v>133</v>
      </c>
      <c r="AM10" s="467" t="s">
        <v>133</v>
      </c>
      <c r="AN10" s="1264">
        <v>46</v>
      </c>
      <c r="AO10" s="1264">
        <v>47</v>
      </c>
      <c r="AP10" s="1264">
        <v>49</v>
      </c>
      <c r="AQ10" s="1264">
        <v>60</v>
      </c>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row>
    <row r="11" spans="1:99" s="12" customFormat="1" ht="24">
      <c r="A11" s="457" t="s">
        <v>447</v>
      </c>
      <c r="B11" s="458" t="s">
        <v>455</v>
      </c>
      <c r="C11" s="458"/>
      <c r="D11" s="467" t="s">
        <v>133</v>
      </c>
      <c r="E11" s="467" t="s">
        <v>133</v>
      </c>
      <c r="F11" s="467" t="s">
        <v>133</v>
      </c>
      <c r="G11" s="467" t="s">
        <v>133</v>
      </c>
      <c r="H11" s="467" t="s">
        <v>133</v>
      </c>
      <c r="I11" s="467" t="s">
        <v>133</v>
      </c>
      <c r="J11" s="467" t="s">
        <v>133</v>
      </c>
      <c r="K11" s="467" t="s">
        <v>133</v>
      </c>
      <c r="L11" s="467" t="s">
        <v>133</v>
      </c>
      <c r="M11" s="467" t="s">
        <v>133</v>
      </c>
      <c r="N11" s="467" t="s">
        <v>133</v>
      </c>
      <c r="O11" s="467" t="s">
        <v>133</v>
      </c>
      <c r="P11" s="467" t="s">
        <v>133</v>
      </c>
      <c r="Q11" s="467" t="s">
        <v>133</v>
      </c>
      <c r="R11" s="467" t="s">
        <v>133</v>
      </c>
      <c r="S11" s="467" t="s">
        <v>133</v>
      </c>
      <c r="T11" s="467" t="s">
        <v>133</v>
      </c>
      <c r="U11" s="467" t="s">
        <v>133</v>
      </c>
      <c r="V11" s="467" t="s">
        <v>133</v>
      </c>
      <c r="W11" s="467" t="s">
        <v>133</v>
      </c>
      <c r="X11" s="467" t="s">
        <v>133</v>
      </c>
      <c r="Y11" s="467" t="s">
        <v>133</v>
      </c>
      <c r="Z11" s="467" t="s">
        <v>133</v>
      </c>
      <c r="AA11" s="467" t="s">
        <v>133</v>
      </c>
      <c r="AB11" s="467" t="s">
        <v>133</v>
      </c>
      <c r="AC11" s="467" t="s">
        <v>133</v>
      </c>
      <c r="AD11" s="467" t="s">
        <v>133</v>
      </c>
      <c r="AE11" s="467" t="s">
        <v>133</v>
      </c>
      <c r="AF11" s="467" t="s">
        <v>133</v>
      </c>
      <c r="AG11" s="467" t="s">
        <v>133</v>
      </c>
      <c r="AH11" s="467" t="s">
        <v>133</v>
      </c>
      <c r="AI11" s="467" t="s">
        <v>133</v>
      </c>
      <c r="AJ11" s="467" t="s">
        <v>133</v>
      </c>
      <c r="AK11" s="467" t="s">
        <v>133</v>
      </c>
      <c r="AL11" s="467" t="s">
        <v>133</v>
      </c>
      <c r="AM11" s="467" t="s">
        <v>133</v>
      </c>
      <c r="AN11" s="1267">
        <v>273</v>
      </c>
      <c r="AO11" s="1267">
        <v>270</v>
      </c>
      <c r="AP11" s="1267">
        <v>278</v>
      </c>
      <c r="AQ11" s="1267">
        <v>314</v>
      </c>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row>
    <row r="12" spans="1:99" s="12" customFormat="1" ht="24">
      <c r="A12" s="457" t="s">
        <v>448</v>
      </c>
      <c r="B12" s="458" t="s">
        <v>454</v>
      </c>
      <c r="C12" s="458"/>
      <c r="D12" s="467" t="s">
        <v>133</v>
      </c>
      <c r="E12" s="467" t="s">
        <v>133</v>
      </c>
      <c r="F12" s="467" t="s">
        <v>133</v>
      </c>
      <c r="G12" s="467" t="s">
        <v>133</v>
      </c>
      <c r="H12" s="467" t="s">
        <v>133</v>
      </c>
      <c r="I12" s="467" t="s">
        <v>133</v>
      </c>
      <c r="J12" s="467" t="s">
        <v>133</v>
      </c>
      <c r="K12" s="467" t="s">
        <v>133</v>
      </c>
      <c r="L12" s="467" t="s">
        <v>133</v>
      </c>
      <c r="M12" s="467" t="s">
        <v>133</v>
      </c>
      <c r="N12" s="467" t="s">
        <v>133</v>
      </c>
      <c r="O12" s="467" t="s">
        <v>133</v>
      </c>
      <c r="P12" s="467" t="s">
        <v>133</v>
      </c>
      <c r="Q12" s="467" t="s">
        <v>133</v>
      </c>
      <c r="R12" s="467" t="s">
        <v>133</v>
      </c>
      <c r="S12" s="467" t="s">
        <v>133</v>
      </c>
      <c r="T12" s="467" t="s">
        <v>133</v>
      </c>
      <c r="U12" s="467" t="s">
        <v>133</v>
      </c>
      <c r="V12" s="467" t="s">
        <v>133</v>
      </c>
      <c r="W12" s="467" t="s">
        <v>133</v>
      </c>
      <c r="X12" s="467" t="s">
        <v>133</v>
      </c>
      <c r="Y12" s="467" t="s">
        <v>133</v>
      </c>
      <c r="Z12" s="467" t="s">
        <v>133</v>
      </c>
      <c r="AA12" s="467" t="s">
        <v>133</v>
      </c>
      <c r="AB12" s="467" t="s">
        <v>133</v>
      </c>
      <c r="AC12" s="467" t="s">
        <v>133</v>
      </c>
      <c r="AD12" s="467" t="s">
        <v>133</v>
      </c>
      <c r="AE12" s="467" t="s">
        <v>133</v>
      </c>
      <c r="AF12" s="467" t="s">
        <v>133</v>
      </c>
      <c r="AG12" s="467" t="s">
        <v>133</v>
      </c>
      <c r="AH12" s="467" t="s">
        <v>133</v>
      </c>
      <c r="AI12" s="467" t="s">
        <v>133</v>
      </c>
      <c r="AJ12" s="467" t="s">
        <v>133</v>
      </c>
      <c r="AK12" s="467" t="s">
        <v>133</v>
      </c>
      <c r="AL12" s="467" t="s">
        <v>133</v>
      </c>
      <c r="AM12" s="467" t="s">
        <v>133</v>
      </c>
      <c r="AN12" s="1267">
        <v>19</v>
      </c>
      <c r="AO12" s="1267">
        <v>19</v>
      </c>
      <c r="AP12" s="1267">
        <v>21</v>
      </c>
      <c r="AQ12" s="1267">
        <v>15</v>
      </c>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row>
    <row r="13" spans="1:99" s="12" customFormat="1">
      <c r="A13" s="422" t="s">
        <v>246</v>
      </c>
      <c r="B13" s="423" t="s">
        <v>452</v>
      </c>
      <c r="C13" s="423"/>
      <c r="D13" s="413">
        <v>1964.018</v>
      </c>
      <c r="E13" s="413">
        <v>1767.9580000000001</v>
      </c>
      <c r="F13" s="413">
        <v>1857.8040000000001</v>
      </c>
      <c r="G13" s="413">
        <v>1972.5639999999999</v>
      </c>
      <c r="H13" s="413">
        <v>2012.8009999999999</v>
      </c>
      <c r="I13" s="413">
        <v>2091.65</v>
      </c>
      <c r="J13" s="413">
        <v>2182.9520000000002</v>
      </c>
      <c r="K13" s="413">
        <v>2244.7979999999984</v>
      </c>
      <c r="L13" s="413">
        <v>2230.0259999999998</v>
      </c>
      <c r="M13" s="413">
        <v>2371.7110000000002</v>
      </c>
      <c r="N13" s="413">
        <v>2555.6469999999999</v>
      </c>
      <c r="O13" s="413">
        <v>2625.0840000000007</v>
      </c>
      <c r="P13" s="413">
        <f>2578.154+54.1</f>
        <v>2632.2539999999999</v>
      </c>
      <c r="Q13" s="413">
        <f>2551.635+62.1</f>
        <v>2613.7350000000001</v>
      </c>
      <c r="R13" s="413">
        <f>2649.448+46.1</f>
        <v>2695.5479999999998</v>
      </c>
      <c r="S13" s="413">
        <v>2643.8290000000006</v>
      </c>
      <c r="T13" s="413">
        <v>2435.8609999999999</v>
      </c>
      <c r="U13" s="413">
        <v>2313.7619999999997</v>
      </c>
      <c r="V13" s="413">
        <v>2167.5749999999998</v>
      </c>
      <c r="W13" s="413">
        <v>2145.3910000000005</v>
      </c>
      <c r="X13" s="413">
        <v>2094.413</v>
      </c>
      <c r="Y13" s="413">
        <v>2375.5539999999996</v>
      </c>
      <c r="Z13" s="413">
        <v>2411.2800000000002</v>
      </c>
      <c r="AA13" s="413">
        <v>2265.3469999999984</v>
      </c>
      <c r="AB13" s="413">
        <v>2045.095</v>
      </c>
      <c r="AC13" s="413">
        <v>1968.5139999999999</v>
      </c>
      <c r="AD13" s="411">
        <v>2036.6969999999999</v>
      </c>
      <c r="AE13" s="411">
        <v>2061.3939999999993</v>
      </c>
      <c r="AF13" s="413">
        <v>1997</v>
      </c>
      <c r="AG13" s="413">
        <v>2071</v>
      </c>
      <c r="AH13" s="413">
        <v>2119</v>
      </c>
      <c r="AI13" s="413">
        <v>2176</v>
      </c>
      <c r="AJ13" s="413">
        <v>2198</v>
      </c>
      <c r="AK13" s="413">
        <v>2248</v>
      </c>
      <c r="AL13" s="413">
        <v>2348</v>
      </c>
      <c r="AM13" s="413">
        <v>2388</v>
      </c>
      <c r="AN13" s="1259">
        <v>2294</v>
      </c>
      <c r="AO13" s="1259">
        <v>2396</v>
      </c>
      <c r="AP13" s="1259">
        <v>2477</v>
      </c>
      <c r="AQ13" s="1259">
        <v>2569</v>
      </c>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row>
    <row r="14" spans="1:99" s="12" customFormat="1">
      <c r="A14" s="457" t="s">
        <v>446</v>
      </c>
      <c r="B14" s="458" t="s">
        <v>456</v>
      </c>
      <c r="C14" s="458"/>
      <c r="D14" s="467" t="s">
        <v>133</v>
      </c>
      <c r="E14" s="467" t="s">
        <v>133</v>
      </c>
      <c r="F14" s="467" t="s">
        <v>133</v>
      </c>
      <c r="G14" s="467" t="s">
        <v>133</v>
      </c>
      <c r="H14" s="467" t="s">
        <v>133</v>
      </c>
      <c r="I14" s="467" t="s">
        <v>133</v>
      </c>
      <c r="J14" s="467" t="s">
        <v>133</v>
      </c>
      <c r="K14" s="467" t="s">
        <v>133</v>
      </c>
      <c r="L14" s="467" t="s">
        <v>133</v>
      </c>
      <c r="M14" s="467" t="s">
        <v>133</v>
      </c>
      <c r="N14" s="467" t="s">
        <v>133</v>
      </c>
      <c r="O14" s="467" t="s">
        <v>133</v>
      </c>
      <c r="P14" s="467" t="s">
        <v>133</v>
      </c>
      <c r="Q14" s="467" t="s">
        <v>133</v>
      </c>
      <c r="R14" s="467" t="s">
        <v>133</v>
      </c>
      <c r="S14" s="467" t="s">
        <v>133</v>
      </c>
      <c r="T14" s="467" t="s">
        <v>133</v>
      </c>
      <c r="U14" s="467" t="s">
        <v>133</v>
      </c>
      <c r="V14" s="467" t="s">
        <v>133</v>
      </c>
      <c r="W14" s="467" t="s">
        <v>133</v>
      </c>
      <c r="X14" s="467" t="s">
        <v>133</v>
      </c>
      <c r="Y14" s="467" t="s">
        <v>133</v>
      </c>
      <c r="Z14" s="467" t="s">
        <v>133</v>
      </c>
      <c r="AA14" s="467" t="s">
        <v>133</v>
      </c>
      <c r="AB14" s="467" t="s">
        <v>133</v>
      </c>
      <c r="AC14" s="467" t="s">
        <v>133</v>
      </c>
      <c r="AD14" s="467" t="s">
        <v>133</v>
      </c>
      <c r="AE14" s="467" t="s">
        <v>133</v>
      </c>
      <c r="AF14" s="467" t="s">
        <v>133</v>
      </c>
      <c r="AG14" s="467" t="s">
        <v>133</v>
      </c>
      <c r="AH14" s="467" t="s">
        <v>133</v>
      </c>
      <c r="AI14" s="467" t="s">
        <v>133</v>
      </c>
      <c r="AJ14" s="467" t="s">
        <v>133</v>
      </c>
      <c r="AK14" s="467" t="s">
        <v>133</v>
      </c>
      <c r="AL14" s="467" t="s">
        <v>133</v>
      </c>
      <c r="AM14" s="467" t="s">
        <v>133</v>
      </c>
      <c r="AN14" s="1270">
        <v>2288</v>
      </c>
      <c r="AO14" s="1270">
        <v>2391</v>
      </c>
      <c r="AP14" s="1270">
        <v>2471</v>
      </c>
      <c r="AQ14" s="1270">
        <v>2542</v>
      </c>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row>
    <row r="15" spans="1:99" s="12" customFormat="1" ht="24">
      <c r="A15" s="457" t="s">
        <v>447</v>
      </c>
      <c r="B15" s="458" t="s">
        <v>455</v>
      </c>
      <c r="C15" s="458"/>
      <c r="D15" s="467" t="s">
        <v>133</v>
      </c>
      <c r="E15" s="467" t="s">
        <v>133</v>
      </c>
      <c r="F15" s="467" t="s">
        <v>133</v>
      </c>
      <c r="G15" s="467" t="s">
        <v>133</v>
      </c>
      <c r="H15" s="467" t="s">
        <v>133</v>
      </c>
      <c r="I15" s="467" t="s">
        <v>133</v>
      </c>
      <c r="J15" s="467" t="s">
        <v>133</v>
      </c>
      <c r="K15" s="467" t="s">
        <v>133</v>
      </c>
      <c r="L15" s="467" t="s">
        <v>133</v>
      </c>
      <c r="M15" s="467" t="s">
        <v>133</v>
      </c>
      <c r="N15" s="467" t="s">
        <v>133</v>
      </c>
      <c r="O15" s="467" t="s">
        <v>133</v>
      </c>
      <c r="P15" s="467" t="s">
        <v>133</v>
      </c>
      <c r="Q15" s="467" t="s">
        <v>133</v>
      </c>
      <c r="R15" s="467" t="s">
        <v>133</v>
      </c>
      <c r="S15" s="467" t="s">
        <v>133</v>
      </c>
      <c r="T15" s="467" t="s">
        <v>133</v>
      </c>
      <c r="U15" s="467" t="s">
        <v>133</v>
      </c>
      <c r="V15" s="467" t="s">
        <v>133</v>
      </c>
      <c r="W15" s="467" t="s">
        <v>133</v>
      </c>
      <c r="X15" s="467" t="s">
        <v>133</v>
      </c>
      <c r="Y15" s="467" t="s">
        <v>133</v>
      </c>
      <c r="Z15" s="467" t="s">
        <v>133</v>
      </c>
      <c r="AA15" s="467" t="s">
        <v>133</v>
      </c>
      <c r="AB15" s="467" t="s">
        <v>133</v>
      </c>
      <c r="AC15" s="467" t="s">
        <v>133</v>
      </c>
      <c r="AD15" s="467" t="s">
        <v>133</v>
      </c>
      <c r="AE15" s="467" t="s">
        <v>133</v>
      </c>
      <c r="AF15" s="467" t="s">
        <v>133</v>
      </c>
      <c r="AG15" s="467" t="s">
        <v>133</v>
      </c>
      <c r="AH15" s="467" t="s">
        <v>133</v>
      </c>
      <c r="AI15" s="467" t="s">
        <v>133</v>
      </c>
      <c r="AJ15" s="467" t="s">
        <v>133</v>
      </c>
      <c r="AK15" s="467" t="s">
        <v>133</v>
      </c>
      <c r="AL15" s="467" t="s">
        <v>133</v>
      </c>
      <c r="AM15" s="467" t="s">
        <v>133</v>
      </c>
      <c r="AN15" s="1270"/>
      <c r="AO15" s="1270"/>
      <c r="AP15" s="1270"/>
      <c r="AQ15" s="1270">
        <v>0</v>
      </c>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row>
    <row r="16" spans="1:99" s="12" customFormat="1" ht="24">
      <c r="A16" s="457" t="s">
        <v>448</v>
      </c>
      <c r="B16" s="458" t="s">
        <v>454</v>
      </c>
      <c r="C16" s="458"/>
      <c r="D16" s="467" t="s">
        <v>133</v>
      </c>
      <c r="E16" s="467" t="s">
        <v>133</v>
      </c>
      <c r="F16" s="467" t="s">
        <v>133</v>
      </c>
      <c r="G16" s="467" t="s">
        <v>133</v>
      </c>
      <c r="H16" s="467" t="s">
        <v>133</v>
      </c>
      <c r="I16" s="467" t="s">
        <v>133</v>
      </c>
      <c r="J16" s="467" t="s">
        <v>133</v>
      </c>
      <c r="K16" s="467" t="s">
        <v>133</v>
      </c>
      <c r="L16" s="467" t="s">
        <v>133</v>
      </c>
      <c r="M16" s="467" t="s">
        <v>133</v>
      </c>
      <c r="N16" s="467" t="s">
        <v>133</v>
      </c>
      <c r="O16" s="467" t="s">
        <v>133</v>
      </c>
      <c r="P16" s="467" t="s">
        <v>133</v>
      </c>
      <c r="Q16" s="467" t="s">
        <v>133</v>
      </c>
      <c r="R16" s="467" t="s">
        <v>133</v>
      </c>
      <c r="S16" s="467" t="s">
        <v>133</v>
      </c>
      <c r="T16" s="467" t="s">
        <v>133</v>
      </c>
      <c r="U16" s="467" t="s">
        <v>133</v>
      </c>
      <c r="V16" s="467" t="s">
        <v>133</v>
      </c>
      <c r="W16" s="467" t="s">
        <v>133</v>
      </c>
      <c r="X16" s="467" t="s">
        <v>133</v>
      </c>
      <c r="Y16" s="467" t="s">
        <v>133</v>
      </c>
      <c r="Z16" s="467" t="s">
        <v>133</v>
      </c>
      <c r="AA16" s="467" t="s">
        <v>133</v>
      </c>
      <c r="AB16" s="467" t="s">
        <v>133</v>
      </c>
      <c r="AC16" s="467" t="s">
        <v>133</v>
      </c>
      <c r="AD16" s="467" t="s">
        <v>133</v>
      </c>
      <c r="AE16" s="467" t="s">
        <v>133</v>
      </c>
      <c r="AF16" s="467" t="s">
        <v>133</v>
      </c>
      <c r="AG16" s="467" t="s">
        <v>133</v>
      </c>
      <c r="AH16" s="467" t="s">
        <v>133</v>
      </c>
      <c r="AI16" s="467" t="s">
        <v>133</v>
      </c>
      <c r="AJ16" s="467" t="s">
        <v>133</v>
      </c>
      <c r="AK16" s="467" t="s">
        <v>133</v>
      </c>
      <c r="AL16" s="467" t="s">
        <v>133</v>
      </c>
      <c r="AM16" s="467" t="s">
        <v>133</v>
      </c>
      <c r="AN16" s="1270">
        <v>6</v>
      </c>
      <c r="AO16" s="1270">
        <v>5</v>
      </c>
      <c r="AP16" s="1270">
        <v>6</v>
      </c>
      <c r="AQ16" s="1270">
        <v>27</v>
      </c>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row>
    <row r="17" spans="1:99" s="12" customFormat="1">
      <c r="A17" s="422" t="s">
        <v>444</v>
      </c>
      <c r="B17" s="423" t="s">
        <v>461</v>
      </c>
      <c r="C17" s="423"/>
      <c r="D17" s="411">
        <v>8.1989999999999998</v>
      </c>
      <c r="E17" s="411">
        <v>2.8260000000000005</v>
      </c>
      <c r="F17" s="411">
        <v>0.65800000000000003</v>
      </c>
      <c r="G17" s="411">
        <v>0.29300000000000104</v>
      </c>
      <c r="H17" s="411">
        <v>1.1240000000000001</v>
      </c>
      <c r="I17" s="411">
        <v>1.8580000000000001</v>
      </c>
      <c r="J17" s="411">
        <v>2.2309999999999999</v>
      </c>
      <c r="K17" s="411">
        <v>-1.3090000000000002</v>
      </c>
      <c r="L17" s="411">
        <v>1.157</v>
      </c>
      <c r="M17" s="411">
        <v>1.9590000000000001</v>
      </c>
      <c r="N17" s="411">
        <v>2.2989999999999999</v>
      </c>
      <c r="O17" s="411">
        <v>3.5700000000000003</v>
      </c>
      <c r="P17" s="411">
        <v>1.6990000000000001</v>
      </c>
      <c r="Q17" s="411">
        <v>1.571</v>
      </c>
      <c r="R17" s="411">
        <v>0</v>
      </c>
      <c r="S17" s="411">
        <v>3.3190000000000008</v>
      </c>
      <c r="T17" s="411">
        <v>0.66600000000000004</v>
      </c>
      <c r="U17" s="411">
        <v>0.86299999999999988</v>
      </c>
      <c r="V17" s="411">
        <v>1.5329999999999999</v>
      </c>
      <c r="W17" s="411">
        <v>0.94799999999999984</v>
      </c>
      <c r="X17" s="411">
        <v>0.877</v>
      </c>
      <c r="Y17" s="411">
        <v>1.7020000000000002</v>
      </c>
      <c r="Z17" s="411">
        <v>0.84399999999999997</v>
      </c>
      <c r="AA17" s="411">
        <v>6.2830000000000004</v>
      </c>
      <c r="AB17" s="411">
        <v>1.0669999999999999</v>
      </c>
      <c r="AC17" s="413">
        <v>22.981999999999999</v>
      </c>
      <c r="AD17" s="411">
        <v>1.278</v>
      </c>
      <c r="AE17" s="411">
        <v>-22.027000000000001</v>
      </c>
      <c r="AF17" s="413">
        <v>4</v>
      </c>
      <c r="AG17" s="413">
        <v>2</v>
      </c>
      <c r="AH17" s="413">
        <v>1</v>
      </c>
      <c r="AI17" s="413">
        <v>-5</v>
      </c>
      <c r="AJ17" s="413">
        <f>-9+15</f>
        <v>6</v>
      </c>
      <c r="AK17" s="413">
        <v>0</v>
      </c>
      <c r="AL17" s="413">
        <v>0</v>
      </c>
      <c r="AM17" s="413">
        <v>-5</v>
      </c>
      <c r="AN17" s="1259"/>
      <c r="AO17" s="1259"/>
      <c r="AP17" s="1259"/>
      <c r="AQ17" s="1259">
        <v>0</v>
      </c>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row>
    <row r="18" spans="1:99" s="12" customFormat="1">
      <c r="A18" s="469" t="s">
        <v>228</v>
      </c>
      <c r="B18" s="470" t="s">
        <v>353</v>
      </c>
      <c r="C18" s="470"/>
      <c r="D18" s="471">
        <v>2236.2310000000002</v>
      </c>
      <c r="E18" s="471">
        <v>2096.3839999999996</v>
      </c>
      <c r="F18" s="471">
        <v>2291.4749999999999</v>
      </c>
      <c r="G18" s="471">
        <v>2407.2399999999993</v>
      </c>
      <c r="H18" s="471">
        <v>2479.2040000000002</v>
      </c>
      <c r="I18" s="471">
        <v>2553.9720000000002</v>
      </c>
      <c r="J18" s="471">
        <v>2671.3620000000001</v>
      </c>
      <c r="K18" s="471">
        <v>2710.7769999999996</v>
      </c>
      <c r="L18" s="471">
        <v>2720.4319999999998</v>
      </c>
      <c r="M18" s="471">
        <v>2881.8820000000005</v>
      </c>
      <c r="N18" s="471">
        <v>3149.3670000000002</v>
      </c>
      <c r="O18" s="471">
        <v>3286.0810000000001</v>
      </c>
      <c r="P18" s="471">
        <v>3311.4379999999996</v>
      </c>
      <c r="Q18" s="471">
        <v>3292.1990000000001</v>
      </c>
      <c r="R18" s="471">
        <v>3341.549</v>
      </c>
      <c r="S18" s="471">
        <v>3252.8570000000004</v>
      </c>
      <c r="T18" s="471">
        <v>2946.4940000000001</v>
      </c>
      <c r="U18" s="471">
        <v>2753.547</v>
      </c>
      <c r="V18" s="471">
        <v>2550.7510000000002</v>
      </c>
      <c r="W18" s="471">
        <v>2512.7019999999998</v>
      </c>
      <c r="X18" s="471">
        <v>2466.8339999999998</v>
      </c>
      <c r="Y18" s="471">
        <v>2777.8050000000003</v>
      </c>
      <c r="Z18" s="471">
        <v>2834.33</v>
      </c>
      <c r="AA18" s="471">
        <v>2658.4620000000004</v>
      </c>
      <c r="AB18" s="471">
        <v>2432.587</v>
      </c>
      <c r="AC18" s="472">
        <v>2355.5450000000001</v>
      </c>
      <c r="AD18" s="471">
        <v>2433.4969999999998</v>
      </c>
      <c r="AE18" s="471">
        <v>2436.1709999999998</v>
      </c>
      <c r="AF18" s="472">
        <v>2392</v>
      </c>
      <c r="AG18" s="472">
        <v>2461</v>
      </c>
      <c r="AH18" s="472">
        <v>2518</v>
      </c>
      <c r="AI18" s="472">
        <v>2595</v>
      </c>
      <c r="AJ18" s="472">
        <v>2620</v>
      </c>
      <c r="AK18" s="472">
        <v>2693</v>
      </c>
      <c r="AL18" s="472">
        <v>2781</v>
      </c>
      <c r="AM18" s="472">
        <v>2825</v>
      </c>
      <c r="AN18" s="1271">
        <v>2748</v>
      </c>
      <c r="AO18" s="1271">
        <v>2837</v>
      </c>
      <c r="AP18" s="1271">
        <v>2933</v>
      </c>
      <c r="AQ18" s="1271">
        <v>3076</v>
      </c>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row>
    <row r="19" spans="1:99" s="56" customFormat="1" ht="24">
      <c r="A19" s="457" t="s">
        <v>247</v>
      </c>
      <c r="B19" s="458" t="s">
        <v>451</v>
      </c>
      <c r="C19" s="458"/>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74"/>
      <c r="AJ19" s="475"/>
      <c r="AK19" s="476"/>
      <c r="AL19" s="477"/>
      <c r="AM19" s="476"/>
      <c r="AN19" s="1265">
        <v>67</v>
      </c>
      <c r="AO19" s="461"/>
      <c r="AP19" s="1265">
        <v>82</v>
      </c>
      <c r="AQ19" s="1265">
        <v>164</v>
      </c>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row>
    <row r="20" spans="1:99" s="63" customFormat="1" ht="12">
      <c r="A20" s="455"/>
      <c r="B20" s="456"/>
      <c r="C20" s="1263"/>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1263"/>
      <c r="AO20" s="456"/>
      <c r="AP20" s="1263"/>
      <c r="AQ20" s="1263"/>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row>
    <row r="21" spans="1:99" s="12" customFormat="1" ht="15.75" thickBot="1">
      <c r="A21" s="495" t="s">
        <v>251</v>
      </c>
      <c r="B21" s="496" t="s">
        <v>477</v>
      </c>
      <c r="C21" s="496"/>
      <c r="D21" s="497"/>
      <c r="E21" s="497"/>
      <c r="F21" s="497"/>
      <c r="G21" s="497"/>
      <c r="H21" s="497"/>
      <c r="I21" s="497"/>
      <c r="J21" s="497"/>
      <c r="K21" s="497"/>
      <c r="L21" s="497"/>
      <c r="M21" s="497"/>
      <c r="N21" s="497"/>
      <c r="O21" s="497"/>
      <c r="P21" s="498"/>
      <c r="Q21" s="498"/>
      <c r="R21" s="498"/>
      <c r="S21" s="498"/>
      <c r="T21" s="498"/>
      <c r="U21" s="498"/>
      <c r="V21" s="498"/>
      <c r="W21" s="498"/>
      <c r="X21" s="498"/>
      <c r="Y21" s="497">
        <v>1000</v>
      </c>
      <c r="Z21" s="497"/>
      <c r="AA21" s="497"/>
      <c r="AB21" s="497"/>
      <c r="AC21" s="497"/>
      <c r="AD21" s="499"/>
      <c r="AE21" s="497"/>
      <c r="AF21" s="500"/>
      <c r="AG21" s="500"/>
      <c r="AH21" s="501"/>
      <c r="AI21" s="501"/>
      <c r="AJ21" s="502"/>
      <c r="AK21" s="501"/>
      <c r="AL21" s="501"/>
      <c r="AM21" s="501"/>
      <c r="AN21" s="1277"/>
      <c r="AO21" s="501"/>
      <c r="AP21" s="1277"/>
      <c r="AQ21" s="1277"/>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row>
    <row r="22" spans="1:99" s="48" customFormat="1" ht="16.5" customHeight="1" thickBot="1">
      <c r="A22" s="343" t="s">
        <v>391</v>
      </c>
      <c r="B22" s="305" t="s">
        <v>180</v>
      </c>
      <c r="C22" s="305"/>
      <c r="D22" s="305" t="s">
        <v>24</v>
      </c>
      <c r="E22" s="305" t="s">
        <v>25</v>
      </c>
      <c r="F22" s="305" t="s">
        <v>26</v>
      </c>
      <c r="G22" s="305" t="s">
        <v>27</v>
      </c>
      <c r="H22" s="305" t="s">
        <v>28</v>
      </c>
      <c r="I22" s="305" t="s">
        <v>29</v>
      </c>
      <c r="J22" s="305" t="s">
        <v>30</v>
      </c>
      <c r="K22" s="305" t="s">
        <v>31</v>
      </c>
      <c r="L22" s="305" t="s">
        <v>32</v>
      </c>
      <c r="M22" s="305" t="s">
        <v>33</v>
      </c>
      <c r="N22" s="305" t="s">
        <v>34</v>
      </c>
      <c r="O22" s="305" t="s">
        <v>35</v>
      </c>
      <c r="P22" s="305" t="s">
        <v>36</v>
      </c>
      <c r="Q22" s="305" t="s">
        <v>37</v>
      </c>
      <c r="R22" s="305" t="s">
        <v>38</v>
      </c>
      <c r="S22" s="305" t="s">
        <v>39</v>
      </c>
      <c r="T22" s="305" t="s">
        <v>40</v>
      </c>
      <c r="U22" s="305" t="s">
        <v>41</v>
      </c>
      <c r="V22" s="305" t="s">
        <v>42</v>
      </c>
      <c r="W22" s="305" t="s">
        <v>43</v>
      </c>
      <c r="X22" s="305" t="s">
        <v>110</v>
      </c>
      <c r="Y22" s="305" t="s">
        <v>111</v>
      </c>
      <c r="Z22" s="305" t="s">
        <v>113</v>
      </c>
      <c r="AA22" s="305" t="s">
        <v>120</v>
      </c>
      <c r="AB22" s="305" t="s">
        <v>114</v>
      </c>
      <c r="AC22" s="305" t="s">
        <v>116</v>
      </c>
      <c r="AD22" s="305" t="s">
        <v>117</v>
      </c>
      <c r="AE22" s="305" t="s">
        <v>119</v>
      </c>
      <c r="AF22" s="306" t="s">
        <v>121</v>
      </c>
      <c r="AG22" s="306" t="s">
        <v>123</v>
      </c>
      <c r="AH22" s="306" t="s">
        <v>124</v>
      </c>
      <c r="AI22" s="306" t="s">
        <v>125</v>
      </c>
      <c r="AJ22" s="306" t="s">
        <v>127</v>
      </c>
      <c r="AK22" s="306" t="s">
        <v>128</v>
      </c>
      <c r="AL22" s="306" t="s">
        <v>129</v>
      </c>
      <c r="AM22" s="306" t="s">
        <v>130</v>
      </c>
      <c r="AN22" s="1252" t="s">
        <v>131</v>
      </c>
      <c r="AO22" s="306" t="s">
        <v>223</v>
      </c>
      <c r="AP22" s="306" t="s">
        <v>224</v>
      </c>
      <c r="AQ22" s="344" t="s">
        <v>511</v>
      </c>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row>
    <row r="23" spans="1:99" s="91" customFormat="1" ht="27">
      <c r="A23" s="503" t="s">
        <v>445</v>
      </c>
      <c r="B23" s="504" t="s">
        <v>457</v>
      </c>
      <c r="C23" s="504"/>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6">
        <v>-4</v>
      </c>
      <c r="AK23" s="506">
        <v>-6</v>
      </c>
      <c r="AL23" s="506">
        <v>-5</v>
      </c>
      <c r="AM23" s="506">
        <v>-7</v>
      </c>
      <c r="AN23" s="1278">
        <f>SUM(AN24:AN24)</f>
        <v>-9</v>
      </c>
      <c r="AO23" s="506">
        <f>SUM(AO24:AO24)</f>
        <v>-8</v>
      </c>
      <c r="AP23" s="506">
        <f>SUM(AP24:AP24)</f>
        <v>-9</v>
      </c>
      <c r="AQ23" s="1353">
        <v>-10</v>
      </c>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row>
    <row r="24" spans="1:99" s="12" customFormat="1">
      <c r="A24" s="482" t="s">
        <v>446</v>
      </c>
      <c r="B24" s="458" t="s">
        <v>456</v>
      </c>
      <c r="C24" s="458"/>
      <c r="D24" s="483"/>
      <c r="E24" s="483"/>
      <c r="F24" s="483"/>
      <c r="G24" s="483"/>
      <c r="H24" s="483"/>
      <c r="I24" s="483"/>
      <c r="J24" s="483"/>
      <c r="K24" s="483"/>
      <c r="L24" s="483"/>
      <c r="M24" s="483"/>
      <c r="N24" s="483"/>
      <c r="O24" s="483"/>
      <c r="P24" s="483"/>
      <c r="Q24" s="483"/>
      <c r="R24" s="483"/>
      <c r="S24" s="483"/>
      <c r="T24" s="483"/>
      <c r="U24" s="483"/>
      <c r="V24" s="483"/>
      <c r="W24" s="483"/>
      <c r="X24" s="483"/>
      <c r="Y24" s="483"/>
      <c r="Z24" s="484"/>
      <c r="AA24" s="484"/>
      <c r="AB24" s="484"/>
      <c r="AC24" s="484"/>
      <c r="AD24" s="484"/>
      <c r="AE24" s="484"/>
      <c r="AF24" s="484"/>
      <c r="AG24" s="484"/>
      <c r="AH24" s="484"/>
      <c r="AI24" s="484"/>
      <c r="AJ24" s="476"/>
      <c r="AK24" s="476">
        <v>0</v>
      </c>
      <c r="AL24" s="476"/>
      <c r="AM24" s="476">
        <v>0</v>
      </c>
      <c r="AN24" s="1265">
        <v>-9</v>
      </c>
      <c r="AO24" s="461">
        <v>-8</v>
      </c>
      <c r="AP24" s="461">
        <v>-9</v>
      </c>
      <c r="AQ24" s="1349">
        <v>-10</v>
      </c>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row>
    <row r="25" spans="1:99" s="17" customFormat="1">
      <c r="A25" s="485" t="s">
        <v>248</v>
      </c>
      <c r="B25" s="423" t="s">
        <v>350</v>
      </c>
      <c r="C25" s="423"/>
      <c r="D25" s="486"/>
      <c r="E25" s="486"/>
      <c r="F25" s="486"/>
      <c r="G25" s="486"/>
      <c r="H25" s="486"/>
      <c r="I25" s="486"/>
      <c r="J25" s="486"/>
      <c r="K25" s="486"/>
      <c r="L25" s="486"/>
      <c r="M25" s="486"/>
      <c r="N25" s="486"/>
      <c r="O25" s="486"/>
      <c r="P25" s="486"/>
      <c r="Q25" s="486"/>
      <c r="R25" s="486"/>
      <c r="S25" s="486"/>
      <c r="T25" s="486"/>
      <c r="U25" s="486"/>
      <c r="V25" s="486"/>
      <c r="W25" s="486"/>
      <c r="X25" s="486"/>
      <c r="Y25" s="486"/>
      <c r="Z25" s="480"/>
      <c r="AA25" s="480"/>
      <c r="AB25" s="480"/>
      <c r="AC25" s="480"/>
      <c r="AD25" s="480"/>
      <c r="AE25" s="480"/>
      <c r="AF25" s="480"/>
      <c r="AG25" s="480"/>
      <c r="AH25" s="480"/>
      <c r="AI25" s="480"/>
      <c r="AJ25" s="421">
        <v>-30</v>
      </c>
      <c r="AK25" s="421">
        <v>-51</v>
      </c>
      <c r="AL25" s="421">
        <v>-34</v>
      </c>
      <c r="AM25" s="421">
        <v>-23</v>
      </c>
      <c r="AN25" s="1259">
        <v>-9</v>
      </c>
      <c r="AO25" s="424">
        <f>SUM(AO26:AO26)</f>
        <v>-7</v>
      </c>
      <c r="AP25" s="424">
        <f>SUM(AP26:AP26)</f>
        <v>-4</v>
      </c>
      <c r="AQ25" s="1348">
        <v>-7</v>
      </c>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row>
    <row r="26" spans="1:99" s="62" customFormat="1">
      <c r="A26" s="482" t="s">
        <v>446</v>
      </c>
      <c r="B26" s="458" t="s">
        <v>456</v>
      </c>
      <c r="C26" s="458"/>
      <c r="D26" s="483"/>
      <c r="E26" s="483"/>
      <c r="F26" s="483"/>
      <c r="G26" s="483"/>
      <c r="H26" s="483"/>
      <c r="I26" s="483"/>
      <c r="J26" s="483"/>
      <c r="K26" s="483"/>
      <c r="L26" s="483"/>
      <c r="M26" s="483"/>
      <c r="N26" s="483"/>
      <c r="O26" s="483"/>
      <c r="P26" s="483"/>
      <c r="Q26" s="483"/>
      <c r="R26" s="483"/>
      <c r="S26" s="483"/>
      <c r="T26" s="483"/>
      <c r="U26" s="483"/>
      <c r="V26" s="483"/>
      <c r="W26" s="483"/>
      <c r="X26" s="483"/>
      <c r="Y26" s="483"/>
      <c r="Z26" s="484"/>
      <c r="AA26" s="484"/>
      <c r="AB26" s="484"/>
      <c r="AC26" s="484"/>
      <c r="AD26" s="484"/>
      <c r="AE26" s="484"/>
      <c r="AF26" s="484"/>
      <c r="AG26" s="484"/>
      <c r="AH26" s="484"/>
      <c r="AI26" s="484"/>
      <c r="AJ26" s="474"/>
      <c r="AK26" s="474">
        <v>0</v>
      </c>
      <c r="AL26" s="474"/>
      <c r="AM26" s="474">
        <v>0</v>
      </c>
      <c r="AN26" s="1264">
        <v>-9</v>
      </c>
      <c r="AO26" s="459">
        <v>-7</v>
      </c>
      <c r="AP26" s="459">
        <v>-4</v>
      </c>
      <c r="AQ26" s="1350">
        <v>-7</v>
      </c>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row>
    <row r="27" spans="1:99" s="12" customFormat="1" ht="27">
      <c r="A27" s="485" t="s">
        <v>449</v>
      </c>
      <c r="B27" s="423" t="s">
        <v>458</v>
      </c>
      <c r="C27" s="423"/>
      <c r="D27" s="486"/>
      <c r="E27" s="486"/>
      <c r="F27" s="486"/>
      <c r="G27" s="486"/>
      <c r="H27" s="486"/>
      <c r="I27" s="486"/>
      <c r="J27" s="486"/>
      <c r="K27" s="486"/>
      <c r="L27" s="486"/>
      <c r="M27" s="486"/>
      <c r="N27" s="486"/>
      <c r="O27" s="486"/>
      <c r="P27" s="486"/>
      <c r="Q27" s="486"/>
      <c r="R27" s="486"/>
      <c r="S27" s="486"/>
      <c r="T27" s="486"/>
      <c r="U27" s="486"/>
      <c r="V27" s="486"/>
      <c r="W27" s="486"/>
      <c r="X27" s="486"/>
      <c r="Y27" s="486"/>
      <c r="Z27" s="480"/>
      <c r="AA27" s="480"/>
      <c r="AB27" s="480"/>
      <c r="AC27" s="480"/>
      <c r="AD27" s="480"/>
      <c r="AE27" s="480"/>
      <c r="AF27" s="480"/>
      <c r="AG27" s="480"/>
      <c r="AH27" s="480"/>
      <c r="AI27" s="480"/>
      <c r="AJ27" s="421">
        <v>-400</v>
      </c>
      <c r="AK27" s="421">
        <v>-398</v>
      </c>
      <c r="AL27" s="421">
        <v>-403</v>
      </c>
      <c r="AM27" s="421">
        <v>-398</v>
      </c>
      <c r="AN27" s="1259">
        <f>SUM(AN28:AN28)</f>
        <v>-374</v>
      </c>
      <c r="AO27" s="424">
        <f>SUM(AO28:AO28)</f>
        <v>-374</v>
      </c>
      <c r="AP27" s="424">
        <f>SUM(AP28:AP28)</f>
        <v>-377</v>
      </c>
      <c r="AQ27" s="1348">
        <v>-407</v>
      </c>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row>
    <row r="28" spans="1:99" s="12" customFormat="1">
      <c r="A28" s="482" t="s">
        <v>446</v>
      </c>
      <c r="B28" s="458" t="s">
        <v>456</v>
      </c>
      <c r="C28" s="458"/>
      <c r="D28" s="483"/>
      <c r="E28" s="483"/>
      <c r="F28" s="483"/>
      <c r="G28" s="483"/>
      <c r="H28" s="483"/>
      <c r="I28" s="483"/>
      <c r="J28" s="483"/>
      <c r="K28" s="483"/>
      <c r="L28" s="483"/>
      <c r="M28" s="483"/>
      <c r="N28" s="483"/>
      <c r="O28" s="483"/>
      <c r="P28" s="483"/>
      <c r="Q28" s="483"/>
      <c r="R28" s="483"/>
      <c r="S28" s="483"/>
      <c r="T28" s="483"/>
      <c r="U28" s="483"/>
      <c r="V28" s="483"/>
      <c r="W28" s="483"/>
      <c r="X28" s="483"/>
      <c r="Y28" s="483"/>
      <c r="Z28" s="484"/>
      <c r="AA28" s="484"/>
      <c r="AB28" s="484"/>
      <c r="AC28" s="484"/>
      <c r="AD28" s="484"/>
      <c r="AE28" s="484"/>
      <c r="AF28" s="484"/>
      <c r="AG28" s="484"/>
      <c r="AH28" s="484"/>
      <c r="AI28" s="484"/>
      <c r="AJ28" s="474"/>
      <c r="AK28" s="474">
        <v>0</v>
      </c>
      <c r="AL28" s="474"/>
      <c r="AM28" s="474">
        <v>0</v>
      </c>
      <c r="AN28" s="1265">
        <v>-374</v>
      </c>
      <c r="AO28" s="461">
        <v>-374</v>
      </c>
      <c r="AP28" s="461">
        <v>-377</v>
      </c>
      <c r="AQ28" s="1350">
        <v>-407</v>
      </c>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row>
    <row r="29" spans="1:99" s="12" customFormat="1">
      <c r="A29" s="485" t="s">
        <v>245</v>
      </c>
      <c r="B29" s="423" t="s">
        <v>453</v>
      </c>
      <c r="C29" s="423"/>
      <c r="D29" s="487"/>
      <c r="E29" s="487"/>
      <c r="F29" s="487"/>
      <c r="G29" s="487"/>
      <c r="H29" s="487"/>
      <c r="I29" s="487"/>
      <c r="J29" s="487"/>
      <c r="K29" s="487"/>
      <c r="L29" s="487"/>
      <c r="M29" s="487"/>
      <c r="N29" s="487"/>
      <c r="O29" s="487"/>
      <c r="P29" s="487"/>
      <c r="Q29" s="487"/>
      <c r="R29" s="487"/>
      <c r="S29" s="487"/>
      <c r="T29" s="487"/>
      <c r="U29" s="487"/>
      <c r="V29" s="487"/>
      <c r="W29" s="487"/>
      <c r="X29" s="487"/>
      <c r="Y29" s="487"/>
      <c r="Z29" s="488"/>
      <c r="AA29" s="488"/>
      <c r="AB29" s="488"/>
      <c r="AC29" s="488"/>
      <c r="AD29" s="488"/>
      <c r="AE29" s="488"/>
      <c r="AF29" s="488"/>
      <c r="AG29" s="488"/>
      <c r="AH29" s="488"/>
      <c r="AI29" s="488"/>
      <c r="AJ29" s="419">
        <v>-25</v>
      </c>
      <c r="AK29" s="419">
        <v>-24</v>
      </c>
      <c r="AL29" s="419">
        <v>-25</v>
      </c>
      <c r="AM29" s="419">
        <v>-16</v>
      </c>
      <c r="AN29" s="1257">
        <v>-15</v>
      </c>
      <c r="AO29" s="419">
        <f>SUM(AO30:AO32)</f>
        <v>-18</v>
      </c>
      <c r="AP29" s="419">
        <f>SUM(AP30:AP32)</f>
        <v>-25</v>
      </c>
      <c r="AQ29" s="1347">
        <v>-18</v>
      </c>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row>
    <row r="30" spans="1:99" s="12" customFormat="1" ht="24">
      <c r="A30" s="482" t="s">
        <v>447</v>
      </c>
      <c r="B30" s="458" t="s">
        <v>455</v>
      </c>
      <c r="C30" s="458"/>
      <c r="D30" s="483"/>
      <c r="E30" s="483"/>
      <c r="F30" s="483"/>
      <c r="G30" s="483"/>
      <c r="H30" s="483"/>
      <c r="I30" s="483"/>
      <c r="J30" s="483"/>
      <c r="K30" s="483"/>
      <c r="L30" s="483"/>
      <c r="M30" s="483"/>
      <c r="N30" s="483"/>
      <c r="O30" s="483"/>
      <c r="P30" s="483"/>
      <c r="Q30" s="483"/>
      <c r="R30" s="483"/>
      <c r="S30" s="483"/>
      <c r="T30" s="483"/>
      <c r="U30" s="483"/>
      <c r="V30" s="483"/>
      <c r="W30" s="483"/>
      <c r="X30" s="483"/>
      <c r="Y30" s="483"/>
      <c r="Z30" s="484"/>
      <c r="AA30" s="484"/>
      <c r="AB30" s="484"/>
      <c r="AC30" s="484"/>
      <c r="AD30" s="484"/>
      <c r="AE30" s="484"/>
      <c r="AF30" s="489"/>
      <c r="AG30" s="489"/>
      <c r="AH30" s="489"/>
      <c r="AI30" s="489"/>
      <c r="AJ30" s="476"/>
      <c r="AK30" s="476">
        <v>0</v>
      </c>
      <c r="AL30" s="476"/>
      <c r="AM30" s="476">
        <v>0</v>
      </c>
      <c r="AN30" s="1272">
        <v>-10</v>
      </c>
      <c r="AO30" s="476">
        <v>-13</v>
      </c>
      <c r="AP30" s="476">
        <v>-20</v>
      </c>
      <c r="AQ30" s="1349">
        <v>-10</v>
      </c>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row>
    <row r="31" spans="1:99" s="12" customFormat="1" ht="24">
      <c r="A31" s="482" t="s">
        <v>448</v>
      </c>
      <c r="B31" s="458" t="s">
        <v>454</v>
      </c>
      <c r="C31" s="458"/>
      <c r="D31" s="483"/>
      <c r="E31" s="483"/>
      <c r="F31" s="483"/>
      <c r="G31" s="483"/>
      <c r="H31" s="483"/>
      <c r="I31" s="483"/>
      <c r="J31" s="483"/>
      <c r="K31" s="483"/>
      <c r="L31" s="483"/>
      <c r="M31" s="483"/>
      <c r="N31" s="483"/>
      <c r="O31" s="483"/>
      <c r="P31" s="483"/>
      <c r="Q31" s="483"/>
      <c r="R31" s="483"/>
      <c r="S31" s="483"/>
      <c r="T31" s="483"/>
      <c r="U31" s="483"/>
      <c r="V31" s="483"/>
      <c r="W31" s="483"/>
      <c r="X31" s="483"/>
      <c r="Y31" s="483"/>
      <c r="Z31" s="484"/>
      <c r="AA31" s="484"/>
      <c r="AB31" s="484"/>
      <c r="AC31" s="484"/>
      <c r="AD31" s="484"/>
      <c r="AE31" s="484"/>
      <c r="AF31" s="489"/>
      <c r="AG31" s="489"/>
      <c r="AH31" s="489"/>
      <c r="AI31" s="489"/>
      <c r="AJ31" s="476"/>
      <c r="AK31" s="476">
        <v>0</v>
      </c>
      <c r="AL31" s="476"/>
      <c r="AM31" s="476">
        <v>0</v>
      </c>
      <c r="AN31" s="1272">
        <v>-5</v>
      </c>
      <c r="AO31" s="476">
        <v>-5</v>
      </c>
      <c r="AP31" s="476">
        <v>-5</v>
      </c>
      <c r="AQ31" s="1349">
        <v>-3</v>
      </c>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row>
    <row r="32" spans="1:99" s="12" customFormat="1">
      <c r="A32" s="482" t="s">
        <v>839</v>
      </c>
      <c r="B32" s="458" t="s">
        <v>840</v>
      </c>
      <c r="C32" s="458"/>
      <c r="D32" s="483"/>
      <c r="E32" s="483"/>
      <c r="F32" s="483"/>
      <c r="G32" s="483"/>
      <c r="H32" s="483"/>
      <c r="I32" s="483"/>
      <c r="J32" s="483"/>
      <c r="K32" s="483"/>
      <c r="L32" s="483"/>
      <c r="M32" s="483"/>
      <c r="N32" s="483"/>
      <c r="O32" s="483"/>
      <c r="P32" s="483"/>
      <c r="Q32" s="483"/>
      <c r="R32" s="483"/>
      <c r="S32" s="483"/>
      <c r="T32" s="483"/>
      <c r="U32" s="483"/>
      <c r="V32" s="483"/>
      <c r="W32" s="483"/>
      <c r="X32" s="483"/>
      <c r="Y32" s="483"/>
      <c r="Z32" s="484"/>
      <c r="AA32" s="484"/>
      <c r="AB32" s="484"/>
      <c r="AC32" s="484"/>
      <c r="AD32" s="484"/>
      <c r="AE32" s="484"/>
      <c r="AF32" s="489"/>
      <c r="AG32" s="489"/>
      <c r="AH32" s="489"/>
      <c r="AI32" s="489"/>
      <c r="AJ32" s="476"/>
      <c r="AK32" s="476">
        <v>0</v>
      </c>
      <c r="AL32" s="476"/>
      <c r="AM32" s="476">
        <v>0</v>
      </c>
      <c r="AN32" s="1272"/>
      <c r="AO32" s="476"/>
      <c r="AP32" s="476"/>
      <c r="AQ32" s="1349">
        <v>-5</v>
      </c>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row>
    <row r="33" spans="1:99" s="12" customFormat="1">
      <c r="A33" s="485" t="s">
        <v>249</v>
      </c>
      <c r="B33" s="424" t="s">
        <v>460</v>
      </c>
      <c r="C33" s="1259"/>
      <c r="D33" s="486"/>
      <c r="E33" s="486"/>
      <c r="F33" s="486"/>
      <c r="G33" s="486"/>
      <c r="H33" s="486"/>
      <c r="I33" s="486"/>
      <c r="J33" s="486"/>
      <c r="K33" s="486"/>
      <c r="L33" s="486"/>
      <c r="M33" s="486"/>
      <c r="N33" s="486"/>
      <c r="O33" s="486"/>
      <c r="P33" s="486"/>
      <c r="Q33" s="486"/>
      <c r="R33" s="486"/>
      <c r="S33" s="486"/>
      <c r="T33" s="486"/>
      <c r="U33" s="486"/>
      <c r="V33" s="486"/>
      <c r="W33" s="486"/>
      <c r="X33" s="486"/>
      <c r="Y33" s="486"/>
      <c r="Z33" s="480"/>
      <c r="AA33" s="480"/>
      <c r="AB33" s="480"/>
      <c r="AC33" s="480"/>
      <c r="AD33" s="480"/>
      <c r="AE33" s="480"/>
      <c r="AF33" s="480"/>
      <c r="AG33" s="480"/>
      <c r="AH33" s="480"/>
      <c r="AI33" s="480"/>
      <c r="AJ33" s="421">
        <v>-96</v>
      </c>
      <c r="AK33" s="421">
        <v>-85</v>
      </c>
      <c r="AL33" s="421">
        <v>-101</v>
      </c>
      <c r="AM33" s="421">
        <v>-116</v>
      </c>
      <c r="AN33" s="1259">
        <f>SUM(AN34:AN34)</f>
        <v>-108</v>
      </c>
      <c r="AO33" s="424">
        <f>SUM(AO34:AO34)</f>
        <v>-117</v>
      </c>
      <c r="AP33" s="424">
        <f>SUM(AP34:AP34)</f>
        <v>-129</v>
      </c>
      <c r="AQ33" s="1348">
        <v>-132</v>
      </c>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row>
    <row r="34" spans="1:99" s="12" customFormat="1">
      <c r="A34" s="482" t="s">
        <v>446</v>
      </c>
      <c r="B34" s="458" t="s">
        <v>456</v>
      </c>
      <c r="C34" s="458"/>
      <c r="D34" s="483"/>
      <c r="E34" s="483"/>
      <c r="F34" s="483"/>
      <c r="G34" s="483"/>
      <c r="H34" s="483"/>
      <c r="I34" s="483"/>
      <c r="J34" s="483"/>
      <c r="K34" s="483"/>
      <c r="L34" s="483"/>
      <c r="M34" s="483"/>
      <c r="N34" s="483"/>
      <c r="O34" s="483"/>
      <c r="P34" s="483"/>
      <c r="Q34" s="483"/>
      <c r="R34" s="483"/>
      <c r="S34" s="483"/>
      <c r="T34" s="483"/>
      <c r="U34" s="483"/>
      <c r="V34" s="483"/>
      <c r="W34" s="483"/>
      <c r="X34" s="483"/>
      <c r="Y34" s="483"/>
      <c r="Z34" s="484"/>
      <c r="AA34" s="484"/>
      <c r="AB34" s="484"/>
      <c r="AC34" s="484"/>
      <c r="AD34" s="484"/>
      <c r="AE34" s="484"/>
      <c r="AF34" s="484"/>
      <c r="AG34" s="484"/>
      <c r="AH34" s="484"/>
      <c r="AI34" s="484"/>
      <c r="AJ34" s="476"/>
      <c r="AK34" s="476">
        <v>0</v>
      </c>
      <c r="AL34" s="476"/>
      <c r="AM34" s="476">
        <v>0</v>
      </c>
      <c r="AN34" s="1265">
        <v>-108</v>
      </c>
      <c r="AO34" s="461">
        <v>-117</v>
      </c>
      <c r="AP34" s="461">
        <v>-129</v>
      </c>
      <c r="AQ34" s="1349">
        <v>-132</v>
      </c>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row>
    <row r="35" spans="1:99" s="12" customFormat="1">
      <c r="A35" s="490" t="s">
        <v>250</v>
      </c>
      <c r="B35" s="491" t="s">
        <v>459</v>
      </c>
      <c r="C35" s="1275"/>
      <c r="D35" s="486"/>
      <c r="E35" s="486"/>
      <c r="F35" s="486"/>
      <c r="G35" s="486"/>
      <c r="H35" s="486"/>
      <c r="I35" s="486"/>
      <c r="J35" s="486"/>
      <c r="K35" s="486"/>
      <c r="L35" s="486"/>
      <c r="M35" s="486"/>
      <c r="N35" s="486"/>
      <c r="O35" s="486"/>
      <c r="P35" s="486"/>
      <c r="Q35" s="486"/>
      <c r="R35" s="486"/>
      <c r="S35" s="486"/>
      <c r="T35" s="486"/>
      <c r="U35" s="486"/>
      <c r="V35" s="486"/>
      <c r="W35" s="486"/>
      <c r="X35" s="486"/>
      <c r="Y35" s="486"/>
      <c r="Z35" s="480"/>
      <c r="AA35" s="480"/>
      <c r="AB35" s="480"/>
      <c r="AC35" s="480"/>
      <c r="AD35" s="480"/>
      <c r="AE35" s="480"/>
      <c r="AF35" s="480"/>
      <c r="AG35" s="480"/>
      <c r="AH35" s="480"/>
      <c r="AI35" s="480"/>
      <c r="AJ35" s="418">
        <v>-19</v>
      </c>
      <c r="AK35" s="418">
        <v>-15</v>
      </c>
      <c r="AL35" s="418">
        <v>-16</v>
      </c>
      <c r="AM35" s="418">
        <v>-16</v>
      </c>
      <c r="AN35" s="1275">
        <v>-17</v>
      </c>
      <c r="AO35" s="491">
        <f>SUM(AO36:AO36)</f>
        <v>-22</v>
      </c>
      <c r="AP35" s="491">
        <f>SUM(AP36:AP36)</f>
        <v>-23</v>
      </c>
      <c r="AQ35" s="1351">
        <v>-22</v>
      </c>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row>
    <row r="36" spans="1:99" s="12" customFormat="1">
      <c r="A36" s="482" t="s">
        <v>446</v>
      </c>
      <c r="B36" s="458" t="s">
        <v>456</v>
      </c>
      <c r="C36" s="458"/>
      <c r="D36" s="483"/>
      <c r="E36" s="483"/>
      <c r="F36" s="483"/>
      <c r="G36" s="483"/>
      <c r="H36" s="483"/>
      <c r="I36" s="483"/>
      <c r="J36" s="483"/>
      <c r="K36" s="483"/>
      <c r="L36" s="483"/>
      <c r="M36" s="483"/>
      <c r="N36" s="483"/>
      <c r="O36" s="483"/>
      <c r="P36" s="483"/>
      <c r="Q36" s="483"/>
      <c r="R36" s="483"/>
      <c r="S36" s="483"/>
      <c r="T36" s="483"/>
      <c r="U36" s="483"/>
      <c r="V36" s="483"/>
      <c r="W36" s="483"/>
      <c r="X36" s="483"/>
      <c r="Y36" s="483"/>
      <c r="Z36" s="484"/>
      <c r="AA36" s="484"/>
      <c r="AB36" s="484"/>
      <c r="AC36" s="484"/>
      <c r="AD36" s="484"/>
      <c r="AE36" s="484"/>
      <c r="AF36" s="484"/>
      <c r="AG36" s="484"/>
      <c r="AH36" s="484"/>
      <c r="AI36" s="484"/>
      <c r="AJ36" s="476"/>
      <c r="AK36" s="476">
        <v>0</v>
      </c>
      <c r="AL36" s="476"/>
      <c r="AM36" s="476">
        <v>0</v>
      </c>
      <c r="AN36" s="1276">
        <v>-17</v>
      </c>
      <c r="AO36" s="493">
        <v>-22</v>
      </c>
      <c r="AP36" s="493">
        <v>-23</v>
      </c>
      <c r="AQ36" s="1349">
        <v>-22</v>
      </c>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row>
    <row r="37" spans="1:99" s="12" customFormat="1">
      <c r="A37" s="469" t="s">
        <v>228</v>
      </c>
      <c r="B37" s="470" t="s">
        <v>353</v>
      </c>
      <c r="C37" s="470"/>
      <c r="D37" s="471">
        <v>-1043.086</v>
      </c>
      <c r="E37" s="471">
        <v>-987.90200000000004</v>
      </c>
      <c r="F37" s="471">
        <v>-959.15499999999997</v>
      </c>
      <c r="G37" s="471">
        <v>-990.00500000000034</v>
      </c>
      <c r="H37" s="471">
        <v>-1004.705</v>
      </c>
      <c r="I37" s="471">
        <v>-962.29200000000003</v>
      </c>
      <c r="J37" s="471">
        <v>-952.20500000000004</v>
      </c>
      <c r="K37" s="471">
        <v>-979.947</v>
      </c>
      <c r="L37" s="471">
        <v>-1000.963</v>
      </c>
      <c r="M37" s="471">
        <v>-1207</v>
      </c>
      <c r="N37" s="471">
        <v>-1185.232</v>
      </c>
      <c r="O37" s="471">
        <v>-1035.4509999999998</v>
      </c>
      <c r="P37" s="471">
        <v>-1198.152</v>
      </c>
      <c r="Q37" s="471">
        <v>-1246.8600000000001</v>
      </c>
      <c r="R37" s="471">
        <v>-1319.7170000000001</v>
      </c>
      <c r="S37" s="471">
        <v>-1344.2219999999998</v>
      </c>
      <c r="T37" s="471">
        <v>-1193.8430000000001</v>
      </c>
      <c r="U37" s="471">
        <v>-1125.6969999999999</v>
      </c>
      <c r="V37" s="471">
        <v>-923.81899999999996</v>
      </c>
      <c r="W37" s="471">
        <v>-798.17300000000023</v>
      </c>
      <c r="X37" s="471">
        <v>-727.00599999999997</v>
      </c>
      <c r="Y37" s="471">
        <v>-838.77100000000007</v>
      </c>
      <c r="Z37" s="471">
        <v>-855.61500000000001</v>
      </c>
      <c r="AA37" s="471">
        <v>-793.10800000000006</v>
      </c>
      <c r="AB37" s="471">
        <v>-761.84900000000005</v>
      </c>
      <c r="AC37" s="472">
        <v>-672.18299999999999</v>
      </c>
      <c r="AD37" s="471">
        <v>-615.39800000000002</v>
      </c>
      <c r="AE37" s="471">
        <v>-579.76999999999964</v>
      </c>
      <c r="AF37" s="472">
        <f>AF31+AF30+AF32+AF33+AF35+AF34</f>
        <v>0</v>
      </c>
      <c r="AG37" s="472">
        <v>-552</v>
      </c>
      <c r="AH37" s="472">
        <v>-546</v>
      </c>
      <c r="AI37" s="472">
        <v>-574</v>
      </c>
      <c r="AJ37" s="472">
        <v>-574</v>
      </c>
      <c r="AK37" s="472">
        <v>-579</v>
      </c>
      <c r="AL37" s="472">
        <v>-584</v>
      </c>
      <c r="AM37" s="472">
        <v>-576</v>
      </c>
      <c r="AN37" s="1271">
        <v>-532</v>
      </c>
      <c r="AO37" s="471">
        <v>-546</v>
      </c>
      <c r="AP37" s="471">
        <v>-567</v>
      </c>
      <c r="AQ37" s="1352">
        <v>-596</v>
      </c>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row>
    <row r="38" spans="1:99" s="61" customFormat="1" ht="12">
      <c r="A38" s="92"/>
      <c r="B38" s="92"/>
      <c r="C38" s="92"/>
      <c r="D38" s="59"/>
      <c r="E38" s="59"/>
      <c r="F38" s="59"/>
      <c r="G38" s="59"/>
      <c r="H38" s="59"/>
      <c r="I38" s="59"/>
      <c r="J38" s="59"/>
      <c r="K38" s="59"/>
      <c r="L38" s="59"/>
      <c r="M38" s="59"/>
      <c r="N38" s="59"/>
      <c r="O38" s="59"/>
      <c r="P38" s="59"/>
      <c r="Q38" s="59"/>
      <c r="R38" s="59"/>
      <c r="S38" s="59"/>
      <c r="T38" s="59"/>
      <c r="U38" s="59"/>
      <c r="V38" s="59"/>
      <c r="W38" s="59"/>
      <c r="X38" s="59"/>
      <c r="Y38" s="59"/>
      <c r="Z38" s="93"/>
      <c r="AA38" s="93"/>
      <c r="AB38" s="93"/>
      <c r="AC38" s="93"/>
      <c r="AE38" s="93"/>
      <c r="AF38" s="94"/>
      <c r="AG38" s="94"/>
      <c r="AH38" s="60"/>
      <c r="AI38" s="287"/>
      <c r="AJ38" s="60"/>
      <c r="AK38" s="60"/>
      <c r="AL38" s="60"/>
      <c r="AM38" s="60"/>
      <c r="AN38" s="1239"/>
      <c r="AO38" s="60"/>
      <c r="AP38" s="60"/>
      <c r="AQ38" s="60"/>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row>
    <row r="39" spans="1:99" s="61" customFormat="1" ht="12">
      <c r="A39" s="92" t="s">
        <v>793</v>
      </c>
      <c r="B39" s="92" t="s">
        <v>794</v>
      </c>
      <c r="C39" s="92"/>
      <c r="D39" s="59"/>
      <c r="E39" s="59"/>
      <c r="F39" s="59"/>
      <c r="G39" s="59"/>
      <c r="H39" s="59"/>
      <c r="I39" s="59"/>
      <c r="J39" s="59"/>
      <c r="K39" s="59"/>
      <c r="L39" s="59"/>
      <c r="M39" s="59"/>
      <c r="N39" s="59"/>
      <c r="O39" s="59"/>
      <c r="P39" s="59"/>
      <c r="Q39" s="59"/>
      <c r="R39" s="59"/>
      <c r="S39" s="59"/>
      <c r="T39" s="59"/>
      <c r="U39" s="59"/>
      <c r="V39" s="59"/>
      <c r="W39" s="59"/>
      <c r="X39" s="59"/>
      <c r="Y39" s="59"/>
      <c r="Z39" s="93"/>
      <c r="AA39" s="93"/>
      <c r="AB39" s="93"/>
      <c r="AC39" s="93"/>
      <c r="AE39" s="93"/>
      <c r="AF39" s="94"/>
      <c r="AG39" s="94"/>
      <c r="AH39" s="60"/>
      <c r="AI39" s="287"/>
      <c r="AJ39" s="60"/>
      <c r="AK39" s="60"/>
      <c r="AL39" s="60"/>
      <c r="AM39" s="60"/>
      <c r="AN39" s="1239"/>
      <c r="AO39" s="60"/>
      <c r="AP39" s="60"/>
      <c r="AQ39" s="60"/>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row>
    <row r="40" spans="1:99" s="61" customFormat="1" ht="15.75" thickBot="1">
      <c r="A40" s="14" t="s">
        <v>251</v>
      </c>
      <c r="B40" s="14" t="s">
        <v>477</v>
      </c>
      <c r="C40" s="14"/>
      <c r="D40" s="3"/>
      <c r="E40" s="3"/>
      <c r="F40" s="3"/>
      <c r="G40" s="3"/>
      <c r="H40" s="3"/>
      <c r="I40" s="3"/>
      <c r="J40" s="3"/>
      <c r="K40" s="3"/>
      <c r="L40" s="3"/>
      <c r="M40" s="3"/>
      <c r="N40" s="3"/>
      <c r="O40" s="3"/>
      <c r="P40" s="15"/>
      <c r="Q40" s="15"/>
      <c r="R40" s="15"/>
      <c r="S40" s="15"/>
      <c r="T40" s="15"/>
      <c r="U40" s="15"/>
      <c r="V40" s="15"/>
      <c r="W40" s="15"/>
      <c r="X40" s="15"/>
      <c r="Y40" s="3"/>
      <c r="Z40" s="4"/>
      <c r="AA40" s="4"/>
      <c r="AB40" s="4"/>
      <c r="AC40" s="4"/>
      <c r="AD40" s="12"/>
      <c r="AE40" s="4"/>
      <c r="AF40" s="6"/>
      <c r="AG40" s="6"/>
      <c r="AH40" s="13"/>
      <c r="AI40" s="13"/>
      <c r="AJ40" s="13"/>
      <c r="AK40" s="13"/>
      <c r="AL40" s="13"/>
      <c r="AM40" s="13"/>
      <c r="AN40" s="1241"/>
      <c r="AO40" s="108"/>
      <c r="AP40" s="108"/>
      <c r="AQ40" s="108"/>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row>
    <row r="41" spans="1:99" s="61" customFormat="1" ht="15.75" thickBot="1">
      <c r="A41" s="343" t="s">
        <v>391</v>
      </c>
      <c r="B41" s="305" t="s">
        <v>180</v>
      </c>
      <c r="C41" s="305"/>
      <c r="D41" s="305" t="s">
        <v>24</v>
      </c>
      <c r="E41" s="305" t="s">
        <v>25</v>
      </c>
      <c r="F41" s="305" t="s">
        <v>26</v>
      </c>
      <c r="G41" s="305" t="s">
        <v>27</v>
      </c>
      <c r="H41" s="305" t="s">
        <v>28</v>
      </c>
      <c r="I41" s="305" t="s">
        <v>29</v>
      </c>
      <c r="J41" s="305" t="s">
        <v>30</v>
      </c>
      <c r="K41" s="305" t="s">
        <v>31</v>
      </c>
      <c r="L41" s="305" t="s">
        <v>32</v>
      </c>
      <c r="M41" s="305" t="s">
        <v>33</v>
      </c>
      <c r="N41" s="305" t="s">
        <v>34</v>
      </c>
      <c r="O41" s="305" t="s">
        <v>35</v>
      </c>
      <c r="P41" s="305" t="s">
        <v>36</v>
      </c>
      <c r="Q41" s="305" t="s">
        <v>37</v>
      </c>
      <c r="R41" s="305" t="s">
        <v>38</v>
      </c>
      <c r="S41" s="305" t="s">
        <v>39</v>
      </c>
      <c r="T41" s="305" t="s">
        <v>40</v>
      </c>
      <c r="U41" s="305" t="s">
        <v>41</v>
      </c>
      <c r="V41" s="305" t="s">
        <v>42</v>
      </c>
      <c r="W41" s="305" t="s">
        <v>43</v>
      </c>
      <c r="X41" s="305" t="s">
        <v>110</v>
      </c>
      <c r="Y41" s="305" t="s">
        <v>111</v>
      </c>
      <c r="Z41" s="305" t="s">
        <v>113</v>
      </c>
      <c r="AA41" s="305" t="s">
        <v>120</v>
      </c>
      <c r="AB41" s="305" t="s">
        <v>114</v>
      </c>
      <c r="AC41" s="305" t="s">
        <v>116</v>
      </c>
      <c r="AD41" s="305" t="s">
        <v>117</v>
      </c>
      <c r="AE41" s="305" t="s">
        <v>119</v>
      </c>
      <c r="AF41" s="306" t="s">
        <v>121</v>
      </c>
      <c r="AG41" s="306" t="s">
        <v>123</v>
      </c>
      <c r="AH41" s="306" t="s">
        <v>124</v>
      </c>
      <c r="AI41" s="306" t="s">
        <v>125</v>
      </c>
      <c r="AJ41" s="306" t="s">
        <v>127</v>
      </c>
      <c r="AK41" s="306" t="s">
        <v>128</v>
      </c>
      <c r="AL41" s="306" t="s">
        <v>129</v>
      </c>
      <c r="AM41" s="306" t="s">
        <v>130</v>
      </c>
      <c r="AN41" s="1252" t="s">
        <v>131</v>
      </c>
      <c r="AO41" s="306" t="s">
        <v>223</v>
      </c>
      <c r="AP41" s="306" t="s">
        <v>224</v>
      </c>
      <c r="AQ41" s="344" t="s">
        <v>511</v>
      </c>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row>
    <row r="42" spans="1:99" s="61" customFormat="1" ht="15" customHeight="1">
      <c r="A42" s="512" t="s">
        <v>790</v>
      </c>
      <c r="B42" s="513" t="s">
        <v>792</v>
      </c>
      <c r="C42" s="513"/>
      <c r="D42" s="514">
        <f t="shared" ref="D42:AL42" si="0">D43+D44</f>
        <v>-989.58900000000006</v>
      </c>
      <c r="E42" s="514">
        <f t="shared" si="0"/>
        <v>-924.3</v>
      </c>
      <c r="F42" s="514">
        <f t="shared" si="0"/>
        <v>-918.34399999999994</v>
      </c>
      <c r="G42" s="514">
        <f t="shared" si="0"/>
        <v>-1001.027</v>
      </c>
      <c r="H42" s="514">
        <f t="shared" si="0"/>
        <v>-964.33600000000001</v>
      </c>
      <c r="I42" s="514">
        <f t="shared" si="0"/>
        <v>-912.26100000000008</v>
      </c>
      <c r="J42" s="514">
        <f t="shared" si="0"/>
        <v>-910.92600000000004</v>
      </c>
      <c r="K42" s="514">
        <f t="shared" si="0"/>
        <v>-958.47399999999982</v>
      </c>
      <c r="L42" s="514">
        <f t="shared" si="0"/>
        <v>-949.22199999999998</v>
      </c>
      <c r="M42" s="514">
        <f t="shared" si="0"/>
        <v>-972.62099999999987</v>
      </c>
      <c r="N42" s="514">
        <f t="shared" si="0"/>
        <v>-1110.354</v>
      </c>
      <c r="O42" s="514">
        <f t="shared" si="0"/>
        <v>-1115.0650000000005</v>
      </c>
      <c r="P42" s="515">
        <f t="shared" si="0"/>
        <v>-1096.3029999999999</v>
      </c>
      <c r="Q42" s="515">
        <f t="shared" si="0"/>
        <v>-1149.2049999999999</v>
      </c>
      <c r="R42" s="515">
        <f t="shared" si="0"/>
        <v>-1217.511</v>
      </c>
      <c r="S42" s="515">
        <f t="shared" si="0"/>
        <v>-1201.8949999999998</v>
      </c>
      <c r="T42" s="514">
        <f t="shared" si="0"/>
        <v>-1059.511</v>
      </c>
      <c r="U42" s="514">
        <f t="shared" si="0"/>
        <v>-991.18499999999995</v>
      </c>
      <c r="V42" s="514">
        <f t="shared" si="0"/>
        <v>-786.53200000000004</v>
      </c>
      <c r="W42" s="514">
        <f t="shared" si="0"/>
        <v>-669.67699999999968</v>
      </c>
      <c r="X42" s="514">
        <f t="shared" si="0"/>
        <v>-594.49299999999994</v>
      </c>
      <c r="Y42" s="514">
        <f t="shared" si="0"/>
        <v>-702.44600000000003</v>
      </c>
      <c r="Z42" s="514">
        <f t="shared" si="0"/>
        <v>-703.87400000000002</v>
      </c>
      <c r="AA42" s="514">
        <f t="shared" si="0"/>
        <v>-637.84300000000019</v>
      </c>
      <c r="AB42" s="514">
        <f t="shared" si="0"/>
        <v>-602.31700000000001</v>
      </c>
      <c r="AC42" s="514">
        <f t="shared" si="0"/>
        <v>-518.35900000000004</v>
      </c>
      <c r="AD42" s="514">
        <f t="shared" si="0"/>
        <v>-455.17899999999997</v>
      </c>
      <c r="AE42" s="514">
        <f t="shared" si="0"/>
        <v>-453.34500000000003</v>
      </c>
      <c r="AF42" s="514">
        <f t="shared" si="0"/>
        <v>-418</v>
      </c>
      <c r="AG42" s="514">
        <f t="shared" si="0"/>
        <v>-421</v>
      </c>
      <c r="AH42" s="514">
        <f t="shared" si="0"/>
        <v>-408</v>
      </c>
      <c r="AI42" s="514">
        <f t="shared" si="0"/>
        <v>-432</v>
      </c>
      <c r="AJ42" s="514">
        <f t="shared" si="0"/>
        <v>-439</v>
      </c>
      <c r="AK42" s="514">
        <f t="shared" si="0"/>
        <v>-455</v>
      </c>
      <c r="AL42" s="514">
        <f t="shared" si="0"/>
        <v>-442</v>
      </c>
      <c r="AM42" s="514">
        <f>AM43+AM44</f>
        <v>-423</v>
      </c>
      <c r="AN42" s="1279">
        <f>AN43+AN44+AN45</f>
        <v>-392</v>
      </c>
      <c r="AO42" s="514">
        <f t="shared" ref="AO42:AP42" si="1">AO43+AO44+AO45</f>
        <v>-389</v>
      </c>
      <c r="AP42" s="514">
        <f t="shared" si="1"/>
        <v>-390</v>
      </c>
      <c r="AQ42" s="1346">
        <v>-424</v>
      </c>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row>
    <row r="43" spans="1:99" s="61" customFormat="1" ht="12">
      <c r="A43" s="507" t="s">
        <v>593</v>
      </c>
      <c r="B43" s="508" t="s">
        <v>842</v>
      </c>
      <c r="C43" s="508"/>
      <c r="D43" s="461">
        <v>-21.416</v>
      </c>
      <c r="E43" s="461">
        <v>-10.857000000000003</v>
      </c>
      <c r="F43" s="461">
        <v>-9.5920000000000005</v>
      </c>
      <c r="G43" s="461">
        <v>-5.6049999999999969</v>
      </c>
      <c r="H43" s="461">
        <v>-6.9020000000000001</v>
      </c>
      <c r="I43" s="461">
        <v>-10.332999999999998</v>
      </c>
      <c r="J43" s="461">
        <v>-7.2309999999999999</v>
      </c>
      <c r="K43" s="461">
        <v>-5.8100000000000032</v>
      </c>
      <c r="L43" s="461">
        <v>-8.5120000000000005</v>
      </c>
      <c r="M43" s="461">
        <v>-10.887</v>
      </c>
      <c r="N43" s="461">
        <v>-12.709</v>
      </c>
      <c r="O43" s="461">
        <v>-13.575999999999993</v>
      </c>
      <c r="P43" s="474">
        <v>-6.657</v>
      </c>
      <c r="Q43" s="474">
        <v>-7.2259999999999991</v>
      </c>
      <c r="R43" s="474">
        <v>-7.2060000000000004</v>
      </c>
      <c r="S43" s="474">
        <v>-6.1500000000000021</v>
      </c>
      <c r="T43" s="461">
        <v>-4.33</v>
      </c>
      <c r="U43" s="461">
        <v>-19.594999999999999</v>
      </c>
      <c r="V43" s="461">
        <f>-8.196-4.596</f>
        <v>-12.792</v>
      </c>
      <c r="W43" s="461">
        <v>-12.386999999999999</v>
      </c>
      <c r="X43" s="461">
        <v>-2.39</v>
      </c>
      <c r="Y43" s="461">
        <v>-29.96</v>
      </c>
      <c r="Z43" s="461">
        <v>-18.937000000000001</v>
      </c>
      <c r="AA43" s="461">
        <v>-46.162000000000013</v>
      </c>
      <c r="AB43" s="461">
        <f>-23.709+-2.288</f>
        <v>-25.997</v>
      </c>
      <c r="AC43" s="461">
        <f>-12.716-0.477</f>
        <v>-13.193</v>
      </c>
      <c r="AD43" s="461">
        <f>-13.996-4.454</f>
        <v>-18.45</v>
      </c>
      <c r="AE43" s="461">
        <v>-16.36</v>
      </c>
      <c r="AF43" s="461">
        <f>-13-3</f>
        <v>-16</v>
      </c>
      <c r="AG43" s="461">
        <v>-23</v>
      </c>
      <c r="AH43" s="461">
        <v>-25</v>
      </c>
      <c r="AI43" s="461">
        <v>-38</v>
      </c>
      <c r="AJ43" s="461">
        <v>-21</v>
      </c>
      <c r="AK43" s="461">
        <v>-42</v>
      </c>
      <c r="AL43" s="461">
        <v>-41</v>
      </c>
      <c r="AM43" s="461">
        <v>-32</v>
      </c>
      <c r="AN43" s="1265">
        <v>-9</v>
      </c>
      <c r="AO43" s="461">
        <v>-8</v>
      </c>
      <c r="AP43" s="461">
        <v>-9</v>
      </c>
      <c r="AQ43" s="1343">
        <v>-10</v>
      </c>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row>
    <row r="44" spans="1:99" s="61" customFormat="1" ht="12">
      <c r="A44" s="507" t="s">
        <v>594</v>
      </c>
      <c r="B44" s="508" t="s">
        <v>843</v>
      </c>
      <c r="C44" s="508"/>
      <c r="D44" s="461">
        <v>-968.173</v>
      </c>
      <c r="E44" s="461">
        <v>-913.44299999999998</v>
      </c>
      <c r="F44" s="461">
        <v>-908.75199999999995</v>
      </c>
      <c r="G44" s="461">
        <v>-995.42200000000003</v>
      </c>
      <c r="H44" s="461">
        <v>-957.43399999999997</v>
      </c>
      <c r="I44" s="461">
        <v>-901.92800000000011</v>
      </c>
      <c r="J44" s="461">
        <v>-903.69500000000005</v>
      </c>
      <c r="K44" s="461">
        <v>-952.66399999999976</v>
      </c>
      <c r="L44" s="461">
        <v>-940.71</v>
      </c>
      <c r="M44" s="461">
        <v>-961.73399999999992</v>
      </c>
      <c r="N44" s="461">
        <v>-1097.645</v>
      </c>
      <c r="O44" s="461">
        <v>-1101.4890000000005</v>
      </c>
      <c r="P44" s="474">
        <v>-1089.646</v>
      </c>
      <c r="Q44" s="474">
        <v>-1141.979</v>
      </c>
      <c r="R44" s="474">
        <v>-1210.3050000000001</v>
      </c>
      <c r="S44" s="474">
        <v>-1195.7449999999997</v>
      </c>
      <c r="T44" s="461">
        <v>-1055.181</v>
      </c>
      <c r="U44" s="461">
        <v>-971.58999999999992</v>
      </c>
      <c r="V44" s="461">
        <v>-773.74</v>
      </c>
      <c r="W44" s="461">
        <v>-657.28999999999974</v>
      </c>
      <c r="X44" s="461">
        <v>-592.10299999999995</v>
      </c>
      <c r="Y44" s="461">
        <v>-672.48599999999999</v>
      </c>
      <c r="Z44" s="461">
        <v>-684.93700000000001</v>
      </c>
      <c r="AA44" s="461">
        <v>-591.68100000000015</v>
      </c>
      <c r="AB44" s="461">
        <v>-576.32000000000005</v>
      </c>
      <c r="AC44" s="461">
        <v>-505.166</v>
      </c>
      <c r="AD44" s="461">
        <v>-436.72899999999998</v>
      </c>
      <c r="AE44" s="461">
        <v>-436.98500000000001</v>
      </c>
      <c r="AF44" s="461">
        <v>-402</v>
      </c>
      <c r="AG44" s="461">
        <v>-398</v>
      </c>
      <c r="AH44" s="461">
        <v>-383</v>
      </c>
      <c r="AI44" s="461">
        <v>-394</v>
      </c>
      <c r="AJ44" s="461">
        <v>-418</v>
      </c>
      <c r="AK44" s="461">
        <v>-413</v>
      </c>
      <c r="AL44" s="461">
        <v>-401</v>
      </c>
      <c r="AM44" s="461">
        <v>-391</v>
      </c>
      <c r="AN44" s="1265">
        <v>-374</v>
      </c>
      <c r="AO44" s="461">
        <v>-374</v>
      </c>
      <c r="AP44" s="461">
        <v>-377</v>
      </c>
      <c r="AQ44" s="1343">
        <v>-407</v>
      </c>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row>
    <row r="45" spans="1:99" s="61" customFormat="1" ht="12">
      <c r="A45" s="507" t="s">
        <v>841</v>
      </c>
      <c r="B45" s="508" t="s">
        <v>850</v>
      </c>
      <c r="C45" s="508"/>
      <c r="D45" s="461"/>
      <c r="E45" s="461"/>
      <c r="F45" s="461"/>
      <c r="G45" s="461"/>
      <c r="H45" s="461"/>
      <c r="I45" s="461"/>
      <c r="J45" s="461"/>
      <c r="K45" s="461"/>
      <c r="L45" s="461"/>
      <c r="M45" s="461"/>
      <c r="N45" s="461"/>
      <c r="O45" s="461"/>
      <c r="P45" s="474"/>
      <c r="Q45" s="474"/>
      <c r="R45" s="474"/>
      <c r="S45" s="474"/>
      <c r="T45" s="461"/>
      <c r="U45" s="461"/>
      <c r="V45" s="461"/>
      <c r="W45" s="461"/>
      <c r="X45" s="461"/>
      <c r="Y45" s="461"/>
      <c r="Z45" s="461"/>
      <c r="AA45" s="461"/>
      <c r="AB45" s="461"/>
      <c r="AC45" s="461"/>
      <c r="AD45" s="461"/>
      <c r="AE45" s="461"/>
      <c r="AF45" s="461"/>
      <c r="AG45" s="461"/>
      <c r="AH45" s="461"/>
      <c r="AI45" s="461"/>
      <c r="AJ45" s="461"/>
      <c r="AK45" s="461"/>
      <c r="AL45" s="461"/>
      <c r="AM45" s="461"/>
      <c r="AN45" s="1265">
        <v>-9</v>
      </c>
      <c r="AO45" s="461">
        <v>-7</v>
      </c>
      <c r="AP45" s="461">
        <v>-4</v>
      </c>
      <c r="AQ45" s="1343">
        <v>-7</v>
      </c>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row>
    <row r="46" spans="1:99" s="61" customFormat="1" ht="27">
      <c r="A46" s="362" t="s">
        <v>476</v>
      </c>
      <c r="B46" s="367" t="s">
        <v>791</v>
      </c>
      <c r="C46" s="367"/>
      <c r="D46" s="411">
        <v>-35.701000000000001</v>
      </c>
      <c r="E46" s="411">
        <v>-31.169000000000004</v>
      </c>
      <c r="F46" s="411">
        <v>-26.536000000000001</v>
      </c>
      <c r="G46" s="411">
        <v>-25.912999999999997</v>
      </c>
      <c r="H46" s="411">
        <v>-26.956</v>
      </c>
      <c r="I46" s="411">
        <v>-26.647000000000002</v>
      </c>
      <c r="J46" s="411">
        <v>-25.202000000000002</v>
      </c>
      <c r="K46" s="411">
        <v>-44.576999999999998</v>
      </c>
      <c r="L46" s="411">
        <v>-50.973999999999997</v>
      </c>
      <c r="M46" s="411">
        <v>-53.041000000000004</v>
      </c>
      <c r="N46" s="411">
        <v>-74.165999999999997</v>
      </c>
      <c r="O46" s="411">
        <v>-99.997000000000014</v>
      </c>
      <c r="P46" s="412">
        <v>-98.951999999999998</v>
      </c>
      <c r="Q46" s="412">
        <v>-94.745000000000005</v>
      </c>
      <c r="R46" s="412">
        <v>-99.799000000000007</v>
      </c>
      <c r="S46" s="412">
        <v>-137.51400000000001</v>
      </c>
      <c r="T46" s="411">
        <v>-124.364</v>
      </c>
      <c r="U46" s="411">
        <v>-120.923</v>
      </c>
      <c r="V46" s="411">
        <v>-116.792</v>
      </c>
      <c r="W46" s="411">
        <v>-110.50900000000004</v>
      </c>
      <c r="X46" s="411">
        <v>-121.74299999999999</v>
      </c>
      <c r="Y46" s="411">
        <v>-126.51599999999999</v>
      </c>
      <c r="Z46" s="411">
        <v>-133.12700000000001</v>
      </c>
      <c r="AA46" s="411">
        <v>-131.29000000000005</v>
      </c>
      <c r="AB46" s="411">
        <v>-135.953</v>
      </c>
      <c r="AC46" s="411">
        <v>-131.34200000000001</v>
      </c>
      <c r="AD46" s="411">
        <v>-133.327</v>
      </c>
      <c r="AE46" s="411">
        <v>-108.37799999999999</v>
      </c>
      <c r="AF46" s="411">
        <v>-90</v>
      </c>
      <c r="AG46" s="465">
        <v>-100</v>
      </c>
      <c r="AH46" s="465">
        <v>-93</v>
      </c>
      <c r="AI46" s="465">
        <v>-112</v>
      </c>
      <c r="AJ46" s="465">
        <v>-110</v>
      </c>
      <c r="AK46" s="411">
        <v>-100</v>
      </c>
      <c r="AL46" s="411">
        <v>-117</v>
      </c>
      <c r="AM46" s="411">
        <v>-137</v>
      </c>
      <c r="AN46" s="1256">
        <f>-108-17</f>
        <v>-125</v>
      </c>
      <c r="AO46" s="411">
        <f>-117-22</f>
        <v>-139</v>
      </c>
      <c r="AP46" s="411">
        <v>-152</v>
      </c>
      <c r="AQ46" s="1341">
        <v>-154</v>
      </c>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row>
    <row r="47" spans="1:99" s="61" customFormat="1" ht="15" customHeight="1">
      <c r="A47" s="362" t="s">
        <v>245</v>
      </c>
      <c r="B47" s="367" t="s">
        <v>453</v>
      </c>
      <c r="C47" s="367"/>
      <c r="D47" s="411">
        <f t="shared" ref="D47:AK47" si="2">SUM(D48:D50)</f>
        <v>0</v>
      </c>
      <c r="E47" s="411">
        <f t="shared" si="2"/>
        <v>0</v>
      </c>
      <c r="F47" s="411">
        <f t="shared" si="2"/>
        <v>0</v>
      </c>
      <c r="G47" s="411">
        <f t="shared" si="2"/>
        <v>0</v>
      </c>
      <c r="H47" s="411">
        <f t="shared" si="2"/>
        <v>0</v>
      </c>
      <c r="I47" s="411">
        <f t="shared" si="2"/>
        <v>0</v>
      </c>
      <c r="J47" s="411">
        <f t="shared" si="2"/>
        <v>0</v>
      </c>
      <c r="K47" s="411">
        <f t="shared" si="2"/>
        <v>-3.5529999999999999</v>
      </c>
      <c r="L47" s="411">
        <f t="shared" si="2"/>
        <v>-4.4999999999999998E-2</v>
      </c>
      <c r="M47" s="411">
        <f t="shared" si="2"/>
        <v>-0.17799999999999999</v>
      </c>
      <c r="N47" s="411">
        <f t="shared" si="2"/>
        <v>-1</v>
      </c>
      <c r="O47" s="411">
        <f t="shared" si="2"/>
        <v>-9.9000000000000074E-2</v>
      </c>
      <c r="P47" s="412">
        <f t="shared" si="2"/>
        <v>-2.8970000000000002</v>
      </c>
      <c r="Q47" s="412">
        <f t="shared" si="2"/>
        <v>-2.91</v>
      </c>
      <c r="R47" s="412">
        <f t="shared" si="2"/>
        <v>-2.407</v>
      </c>
      <c r="S47" s="412">
        <f t="shared" si="2"/>
        <v>-4.8130000000000006</v>
      </c>
      <c r="T47" s="411">
        <f t="shared" si="2"/>
        <v>-9.968</v>
      </c>
      <c r="U47" s="411">
        <f t="shared" si="2"/>
        <v>-13.589</v>
      </c>
      <c r="V47" s="411">
        <f t="shared" si="2"/>
        <v>-20.495000000000001</v>
      </c>
      <c r="W47" s="411">
        <f t="shared" si="2"/>
        <v>-17.987000000000002</v>
      </c>
      <c r="X47" s="411">
        <f t="shared" si="2"/>
        <v>-10.77</v>
      </c>
      <c r="Y47" s="411">
        <f t="shared" si="2"/>
        <v>-9.8090000000000011</v>
      </c>
      <c r="Z47" s="411">
        <f t="shared" si="2"/>
        <v>-18.777999999999999</v>
      </c>
      <c r="AA47" s="411">
        <f t="shared" si="2"/>
        <v>-23.811</v>
      </c>
      <c r="AB47" s="411">
        <f t="shared" si="2"/>
        <v>-23.579000000000001</v>
      </c>
      <c r="AC47" s="411">
        <f t="shared" si="2"/>
        <v>-22.481999999999999</v>
      </c>
      <c r="AD47" s="411">
        <f t="shared" si="2"/>
        <v>-26.891999999999999</v>
      </c>
      <c r="AE47" s="411">
        <f t="shared" si="2"/>
        <v>-18.047000000000004</v>
      </c>
      <c r="AF47" s="411">
        <f t="shared" si="2"/>
        <v>-30</v>
      </c>
      <c r="AG47" s="411">
        <f t="shared" si="2"/>
        <v>-31</v>
      </c>
      <c r="AH47" s="411">
        <f t="shared" si="2"/>
        <v>-45</v>
      </c>
      <c r="AI47" s="411">
        <f t="shared" si="2"/>
        <v>-30</v>
      </c>
      <c r="AJ47" s="411">
        <f t="shared" si="2"/>
        <v>-25</v>
      </c>
      <c r="AK47" s="411">
        <f t="shared" si="2"/>
        <v>-24</v>
      </c>
      <c r="AL47" s="411">
        <f>SUM(AL48:AL50)</f>
        <v>-25</v>
      </c>
      <c r="AM47" s="411">
        <f t="shared" ref="AM47:AN47" si="3">SUM(AM48:AM50)</f>
        <v>-16</v>
      </c>
      <c r="AN47" s="1256">
        <f t="shared" si="3"/>
        <v>-15</v>
      </c>
      <c r="AO47" s="411">
        <v>-18</v>
      </c>
      <c r="AP47" s="411">
        <v>-25</v>
      </c>
      <c r="AQ47" s="1341">
        <v>-18</v>
      </c>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row>
    <row r="48" spans="1:99" s="61" customFormat="1" ht="24">
      <c r="A48" s="507" t="s">
        <v>848</v>
      </c>
      <c r="B48" s="508" t="s">
        <v>844</v>
      </c>
      <c r="C48" s="508"/>
      <c r="D48" s="461"/>
      <c r="E48" s="461">
        <v>0</v>
      </c>
      <c r="F48" s="461"/>
      <c r="G48" s="461">
        <v>0</v>
      </c>
      <c r="H48" s="461"/>
      <c r="I48" s="461">
        <v>0</v>
      </c>
      <c r="J48" s="461"/>
      <c r="K48" s="461">
        <v>-3.5529999999999999</v>
      </c>
      <c r="L48" s="461">
        <v>-4.4999999999999998E-2</v>
      </c>
      <c r="M48" s="461">
        <v>-0.17799999999999999</v>
      </c>
      <c r="N48" s="459">
        <v>-1</v>
      </c>
      <c r="O48" s="459">
        <v>-9.9000000000000074E-2</v>
      </c>
      <c r="P48" s="474">
        <v>-2.4820000000000002</v>
      </c>
      <c r="Q48" s="474">
        <v>-2.5099999999999998</v>
      </c>
      <c r="R48" s="474">
        <v>-1.7989999999999999</v>
      </c>
      <c r="S48" s="474">
        <v>-3.12</v>
      </c>
      <c r="T48" s="461">
        <v>-7.1239999999999997</v>
      </c>
      <c r="U48" s="461">
        <v>-9.4570000000000007</v>
      </c>
      <c r="V48" s="461">
        <v>-11.355</v>
      </c>
      <c r="W48" s="461">
        <v>-10.801000000000002</v>
      </c>
      <c r="X48" s="461">
        <v>-7.819</v>
      </c>
      <c r="Y48" s="461">
        <v>-7.0610000000000008</v>
      </c>
      <c r="Z48" s="461">
        <v>-10.037000000000001</v>
      </c>
      <c r="AA48" s="461">
        <v>-16.010000000000002</v>
      </c>
      <c r="AB48" s="461">
        <v>-14.912000000000001</v>
      </c>
      <c r="AC48" s="461">
        <v>-14.87</v>
      </c>
      <c r="AD48" s="461">
        <v>-16.452999999999999</v>
      </c>
      <c r="AE48" s="461">
        <v>-10.965000000000002</v>
      </c>
      <c r="AF48" s="461">
        <v>-14</v>
      </c>
      <c r="AG48" s="461">
        <v>-18</v>
      </c>
      <c r="AH48" s="461">
        <v>-24</v>
      </c>
      <c r="AI48" s="461">
        <v>-23</v>
      </c>
      <c r="AJ48" s="461">
        <v>-20</v>
      </c>
      <c r="AK48" s="461">
        <v>-18</v>
      </c>
      <c r="AL48" s="461">
        <v>-19</v>
      </c>
      <c r="AM48" s="461">
        <v>-12</v>
      </c>
      <c r="AN48" s="1265">
        <v>0</v>
      </c>
      <c r="AO48" s="461"/>
      <c r="AP48" s="461"/>
      <c r="AQ48" s="1343">
        <v>0</v>
      </c>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row>
    <row r="49" spans="1:99" s="61" customFormat="1" ht="24">
      <c r="A49" s="507" t="s">
        <v>849</v>
      </c>
      <c r="B49" s="508" t="s">
        <v>845</v>
      </c>
      <c r="C49" s="508"/>
      <c r="D49" s="493"/>
      <c r="E49" s="493">
        <v>0</v>
      </c>
      <c r="F49" s="493"/>
      <c r="G49" s="493">
        <v>0</v>
      </c>
      <c r="H49" s="493"/>
      <c r="I49" s="493">
        <v>0</v>
      </c>
      <c r="J49" s="493"/>
      <c r="K49" s="493">
        <v>0</v>
      </c>
      <c r="L49" s="493"/>
      <c r="M49" s="493">
        <v>0</v>
      </c>
      <c r="N49" s="493">
        <v>0</v>
      </c>
      <c r="O49" s="493">
        <v>0</v>
      </c>
      <c r="P49" s="460">
        <v>-0.32500000000000001</v>
      </c>
      <c r="Q49" s="460">
        <v>-0.35700000000000004</v>
      </c>
      <c r="R49" s="460">
        <v>-0.51800000000000002</v>
      </c>
      <c r="S49" s="460">
        <v>-0.94699999999999984</v>
      </c>
      <c r="T49" s="493">
        <v>-1.78</v>
      </c>
      <c r="U49" s="493">
        <v>-2.2930000000000001</v>
      </c>
      <c r="V49" s="493">
        <v>-3.2629999999999999</v>
      </c>
      <c r="W49" s="493">
        <v>-1.5909999999999995</v>
      </c>
      <c r="X49" s="493">
        <v>-1.2010000000000001</v>
      </c>
      <c r="Y49" s="493">
        <v>-1.367</v>
      </c>
      <c r="Z49" s="493">
        <v>-2.7570000000000001</v>
      </c>
      <c r="AA49" s="493">
        <v>-6.6820000000000004</v>
      </c>
      <c r="AB49" s="493">
        <v>-4.2279999999999998</v>
      </c>
      <c r="AC49" s="493">
        <v>-3.7930000000000001</v>
      </c>
      <c r="AD49" s="493">
        <v>-6.0720000000000001</v>
      </c>
      <c r="AE49" s="493">
        <v>-4.5070000000000032</v>
      </c>
      <c r="AF49" s="493">
        <v>-9</v>
      </c>
      <c r="AG49" s="493">
        <v>-7</v>
      </c>
      <c r="AH49" s="493">
        <v>-13</v>
      </c>
      <c r="AI49" s="493">
        <v>-4</v>
      </c>
      <c r="AJ49" s="493">
        <v>-2</v>
      </c>
      <c r="AK49" s="493">
        <v>-3</v>
      </c>
      <c r="AL49" s="493">
        <v>-3</v>
      </c>
      <c r="AM49" s="493">
        <v>-3</v>
      </c>
      <c r="AN49" s="1276">
        <v>-15</v>
      </c>
      <c r="AO49" s="493"/>
      <c r="AP49" s="493"/>
      <c r="AQ49" s="1345"/>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row>
    <row r="50" spans="1:99" s="61" customFormat="1" ht="36">
      <c r="A50" s="507" t="s">
        <v>847</v>
      </c>
      <c r="B50" s="508" t="s">
        <v>846</v>
      </c>
      <c r="C50" s="508"/>
      <c r="D50" s="493"/>
      <c r="E50" s="493">
        <v>0</v>
      </c>
      <c r="F50" s="493"/>
      <c r="G50" s="493">
        <v>0</v>
      </c>
      <c r="H50" s="493"/>
      <c r="I50" s="493">
        <v>0</v>
      </c>
      <c r="J50" s="493"/>
      <c r="K50" s="493">
        <v>0</v>
      </c>
      <c r="L50" s="493"/>
      <c r="M50" s="493">
        <v>0</v>
      </c>
      <c r="N50" s="493"/>
      <c r="O50" s="493">
        <v>0</v>
      </c>
      <c r="P50" s="460">
        <v>-0.09</v>
      </c>
      <c r="Q50" s="460">
        <v>-4.300000000000001E-2</v>
      </c>
      <c r="R50" s="460">
        <v>-0.09</v>
      </c>
      <c r="S50" s="460">
        <v>-0.746</v>
      </c>
      <c r="T50" s="493">
        <v>-1.0640000000000001</v>
      </c>
      <c r="U50" s="493">
        <v>-1.839</v>
      </c>
      <c r="V50" s="493">
        <v>-5.8769999999999998</v>
      </c>
      <c r="W50" s="493">
        <v>-5.5950000000000006</v>
      </c>
      <c r="X50" s="493">
        <v>-1.75</v>
      </c>
      <c r="Y50" s="493">
        <v>-1.3809999999999998</v>
      </c>
      <c r="Z50" s="493">
        <v>-5.984</v>
      </c>
      <c r="AA50" s="493">
        <v>-1.1190000000000002</v>
      </c>
      <c r="AB50" s="493">
        <v>-4.4390000000000001</v>
      </c>
      <c r="AC50" s="493">
        <v>-3.819</v>
      </c>
      <c r="AD50" s="493">
        <v>-4.367</v>
      </c>
      <c r="AE50" s="493">
        <v>-2.5749999999999984</v>
      </c>
      <c r="AF50" s="493">
        <v>-7</v>
      </c>
      <c r="AG50" s="493">
        <v>-6</v>
      </c>
      <c r="AH50" s="493">
        <v>-8</v>
      </c>
      <c r="AI50" s="493">
        <v>-3</v>
      </c>
      <c r="AJ50" s="493">
        <v>-3</v>
      </c>
      <c r="AK50" s="493">
        <v>-3</v>
      </c>
      <c r="AL50" s="493">
        <v>-3</v>
      </c>
      <c r="AM50" s="493">
        <v>-1</v>
      </c>
      <c r="AN50" s="1276">
        <v>0</v>
      </c>
      <c r="AO50" s="493"/>
      <c r="AP50" s="493"/>
      <c r="AQ50" s="1345">
        <v>0</v>
      </c>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row>
    <row r="51" spans="1:99" s="61" customFormat="1" ht="15" customHeight="1">
      <c r="A51" s="362" t="s">
        <v>444</v>
      </c>
      <c r="B51" s="367" t="s">
        <v>461</v>
      </c>
      <c r="C51" s="367"/>
      <c r="D51" s="431">
        <v>-17.795999999999999</v>
      </c>
      <c r="E51" s="431">
        <v>-32.433</v>
      </c>
      <c r="F51" s="431">
        <v>-14.275</v>
      </c>
      <c r="G51" s="431">
        <v>36.935000000000002</v>
      </c>
      <c r="H51" s="431">
        <v>-13.413</v>
      </c>
      <c r="I51" s="431">
        <v>-23.383999999999997</v>
      </c>
      <c r="J51" s="431">
        <v>-16.077000000000002</v>
      </c>
      <c r="K51" s="431">
        <v>26.657</v>
      </c>
      <c r="L51" s="431">
        <v>-0.90200000000000002</v>
      </c>
      <c r="M51" s="431">
        <v>-0.78500000000000003</v>
      </c>
      <c r="N51" s="431">
        <v>-0.189</v>
      </c>
      <c r="O51" s="431">
        <v>-7.9999999999997851E-3</v>
      </c>
      <c r="P51" s="432"/>
      <c r="Q51" s="432"/>
      <c r="R51" s="432"/>
      <c r="S51" s="432"/>
      <c r="T51" s="431"/>
      <c r="U51" s="431"/>
      <c r="V51" s="431"/>
      <c r="W51" s="431"/>
      <c r="X51" s="431"/>
      <c r="Y51" s="431"/>
      <c r="Z51" s="431"/>
      <c r="AA51" s="431"/>
      <c r="AB51" s="431"/>
      <c r="AC51" s="431"/>
      <c r="AD51" s="431"/>
      <c r="AE51" s="431">
        <v>0</v>
      </c>
      <c r="AF51" s="431"/>
      <c r="AG51" s="509"/>
      <c r="AH51" s="509"/>
      <c r="AI51" s="509">
        <v>0</v>
      </c>
      <c r="AJ51" s="509"/>
      <c r="AK51" s="431"/>
      <c r="AL51" s="431"/>
      <c r="AM51" s="431">
        <v>0</v>
      </c>
      <c r="AN51" s="1260">
        <v>0</v>
      </c>
      <c r="AO51" s="431">
        <v>0</v>
      </c>
      <c r="AP51" s="431">
        <v>0</v>
      </c>
      <c r="AQ51" s="1342">
        <v>0</v>
      </c>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row>
    <row r="52" spans="1:99" s="61" customFormat="1">
      <c r="A52" s="510" t="s">
        <v>228</v>
      </c>
      <c r="B52" s="470" t="s">
        <v>353</v>
      </c>
      <c r="C52" s="470"/>
      <c r="D52" s="471">
        <v>-1043.086</v>
      </c>
      <c r="E52" s="471">
        <v>-987.90200000000004</v>
      </c>
      <c r="F52" s="471">
        <v>-959.15499999999997</v>
      </c>
      <c r="G52" s="471">
        <v>-990.00500000000034</v>
      </c>
      <c r="H52" s="471">
        <v>-1004.705</v>
      </c>
      <c r="I52" s="471">
        <v>-962.29200000000003</v>
      </c>
      <c r="J52" s="471">
        <v>-952.20500000000004</v>
      </c>
      <c r="K52" s="471">
        <v>-979.947</v>
      </c>
      <c r="L52" s="471">
        <v>-1000.963</v>
      </c>
      <c r="M52" s="471">
        <v>-1207</v>
      </c>
      <c r="N52" s="471">
        <v>-1185.232</v>
      </c>
      <c r="O52" s="471">
        <v>-1035.4509999999998</v>
      </c>
      <c r="P52" s="511">
        <v>-1198.152</v>
      </c>
      <c r="Q52" s="511">
        <v>-1246.8600000000001</v>
      </c>
      <c r="R52" s="511">
        <v>-1319.7170000000001</v>
      </c>
      <c r="S52" s="511">
        <v>-1344.2219999999998</v>
      </c>
      <c r="T52" s="471">
        <v>-1193.8430000000001</v>
      </c>
      <c r="U52" s="471">
        <v>-1125.6969999999999</v>
      </c>
      <c r="V52" s="471">
        <v>-923.81899999999996</v>
      </c>
      <c r="W52" s="471">
        <v>-798.17300000000023</v>
      </c>
      <c r="X52" s="471">
        <v>-727.00599999999997</v>
      </c>
      <c r="Y52" s="471">
        <v>-838.77100000000007</v>
      </c>
      <c r="Z52" s="471">
        <v>-855.61500000000001</v>
      </c>
      <c r="AA52" s="471">
        <v>-793.10800000000006</v>
      </c>
      <c r="AB52" s="471">
        <v>-761.84900000000005</v>
      </c>
      <c r="AC52" s="472">
        <v>-672.18299999999999</v>
      </c>
      <c r="AD52" s="471">
        <v>-615.39800000000002</v>
      </c>
      <c r="AE52" s="471">
        <v>-579.76999999999964</v>
      </c>
      <c r="AF52" s="472">
        <f>AF44+AF43+AF46+AF48+AF50+AF49</f>
        <v>-538</v>
      </c>
      <c r="AG52" s="472">
        <v>-552</v>
      </c>
      <c r="AH52" s="472">
        <v>-546</v>
      </c>
      <c r="AI52" s="472">
        <v>-574</v>
      </c>
      <c r="AJ52" s="472">
        <v>-574</v>
      </c>
      <c r="AK52" s="472">
        <v>-579</v>
      </c>
      <c r="AL52" s="472">
        <v>-584</v>
      </c>
      <c r="AM52" s="472">
        <v>-576</v>
      </c>
      <c r="AN52" s="1271">
        <v>-532</v>
      </c>
      <c r="AO52" s="471">
        <v>-546</v>
      </c>
      <c r="AP52" s="471">
        <v>-567</v>
      </c>
      <c r="AQ52" s="1344">
        <v>-596</v>
      </c>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row>
    <row r="53" spans="1:99" s="61" customFormat="1">
      <c r="A53" s="1229"/>
      <c r="B53" s="1230"/>
      <c r="C53" s="1230"/>
      <c r="D53" s="1231"/>
      <c r="E53" s="1231"/>
      <c r="F53" s="1231"/>
      <c r="G53" s="1231"/>
      <c r="H53" s="1231"/>
      <c r="I53" s="1231"/>
      <c r="J53" s="1231"/>
      <c r="K53" s="1231"/>
      <c r="L53" s="1231"/>
      <c r="M53" s="1231"/>
      <c r="N53" s="1231"/>
      <c r="O53" s="1231"/>
      <c r="P53" s="1232"/>
      <c r="Q53" s="1232"/>
      <c r="R53" s="1232"/>
      <c r="S53" s="1232"/>
      <c r="T53" s="1231"/>
      <c r="U53" s="1231"/>
      <c r="V53" s="1231"/>
      <c r="W53" s="1231"/>
      <c r="X53" s="1231"/>
      <c r="Y53" s="1231"/>
      <c r="Z53" s="1231"/>
      <c r="AA53" s="1231"/>
      <c r="AB53" s="1231"/>
      <c r="AC53" s="1233"/>
      <c r="AD53" s="1231"/>
      <c r="AE53" s="1231"/>
      <c r="AF53" s="1233"/>
      <c r="AG53" s="1233"/>
      <c r="AH53" s="1233"/>
      <c r="AI53" s="1233"/>
      <c r="AJ53" s="1233"/>
      <c r="AK53" s="1233"/>
      <c r="AL53" s="1233"/>
      <c r="AM53" s="1233"/>
      <c r="AN53" s="1231"/>
      <c r="AO53" s="1231"/>
      <c r="AP53" s="1231"/>
      <c r="AQ53" s="1340"/>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row>
    <row r="54" spans="1:99" s="12" customFormat="1">
      <c r="A54" s="469" t="s">
        <v>3</v>
      </c>
      <c r="B54" s="470" t="s">
        <v>143</v>
      </c>
      <c r="C54" s="470"/>
      <c r="D54" s="471">
        <f t="shared" ref="D54:AQ54" si="4">D18+D37</f>
        <v>1193.1450000000002</v>
      </c>
      <c r="E54" s="471">
        <f t="shared" si="4"/>
        <v>1108.4819999999995</v>
      </c>
      <c r="F54" s="471">
        <f t="shared" si="4"/>
        <v>1332.32</v>
      </c>
      <c r="G54" s="471">
        <f t="shared" si="4"/>
        <v>1417.234999999999</v>
      </c>
      <c r="H54" s="471">
        <f t="shared" si="4"/>
        <v>1474.4990000000003</v>
      </c>
      <c r="I54" s="471">
        <f t="shared" si="4"/>
        <v>1591.6800000000003</v>
      </c>
      <c r="J54" s="471">
        <f t="shared" si="4"/>
        <v>1719.1570000000002</v>
      </c>
      <c r="K54" s="471">
        <f t="shared" si="4"/>
        <v>1730.8299999999995</v>
      </c>
      <c r="L54" s="471">
        <f t="shared" si="4"/>
        <v>1719.4689999999998</v>
      </c>
      <c r="M54" s="471">
        <f t="shared" si="4"/>
        <v>1674.8820000000005</v>
      </c>
      <c r="N54" s="471">
        <f t="shared" si="4"/>
        <v>1964.1350000000002</v>
      </c>
      <c r="O54" s="471">
        <f t="shared" si="4"/>
        <v>2250.63</v>
      </c>
      <c r="P54" s="471">
        <f t="shared" si="4"/>
        <v>2113.2859999999996</v>
      </c>
      <c r="Q54" s="471">
        <f t="shared" si="4"/>
        <v>2045.3389999999999</v>
      </c>
      <c r="R54" s="471">
        <f t="shared" si="4"/>
        <v>2021.8319999999999</v>
      </c>
      <c r="S54" s="471">
        <f t="shared" si="4"/>
        <v>1908.6350000000007</v>
      </c>
      <c r="T54" s="471">
        <f t="shared" si="4"/>
        <v>1752.6510000000001</v>
      </c>
      <c r="U54" s="471">
        <f t="shared" si="4"/>
        <v>1627.8500000000001</v>
      </c>
      <c r="V54" s="471">
        <f t="shared" si="4"/>
        <v>1626.9320000000002</v>
      </c>
      <c r="W54" s="471">
        <f t="shared" si="4"/>
        <v>1714.5289999999995</v>
      </c>
      <c r="X54" s="471">
        <f t="shared" si="4"/>
        <v>1739.828</v>
      </c>
      <c r="Y54" s="471">
        <f t="shared" si="4"/>
        <v>1939.0340000000001</v>
      </c>
      <c r="Z54" s="471">
        <f t="shared" si="4"/>
        <v>1978.7149999999999</v>
      </c>
      <c r="AA54" s="471">
        <f t="shared" si="4"/>
        <v>1865.3540000000003</v>
      </c>
      <c r="AB54" s="471">
        <f t="shared" si="4"/>
        <v>1670.7379999999998</v>
      </c>
      <c r="AC54" s="472">
        <f t="shared" si="4"/>
        <v>1683.3620000000001</v>
      </c>
      <c r="AD54" s="471">
        <f t="shared" si="4"/>
        <v>1818.0989999999997</v>
      </c>
      <c r="AE54" s="471">
        <f t="shared" si="4"/>
        <v>1856.4010000000003</v>
      </c>
      <c r="AF54" s="472">
        <f t="shared" si="4"/>
        <v>2392</v>
      </c>
      <c r="AG54" s="472">
        <f t="shared" si="4"/>
        <v>1909</v>
      </c>
      <c r="AH54" s="472">
        <f t="shared" si="4"/>
        <v>1972</v>
      </c>
      <c r="AI54" s="472">
        <f t="shared" si="4"/>
        <v>2021</v>
      </c>
      <c r="AJ54" s="472">
        <f t="shared" si="4"/>
        <v>2046</v>
      </c>
      <c r="AK54" s="472">
        <f t="shared" si="4"/>
        <v>2114</v>
      </c>
      <c r="AL54" s="472">
        <f t="shared" si="4"/>
        <v>2197</v>
      </c>
      <c r="AM54" s="472">
        <f t="shared" si="4"/>
        <v>2249</v>
      </c>
      <c r="AN54" s="1271">
        <f t="shared" si="4"/>
        <v>2216</v>
      </c>
      <c r="AO54" s="471">
        <f t="shared" si="4"/>
        <v>2291</v>
      </c>
      <c r="AP54" s="471">
        <f t="shared" si="4"/>
        <v>2366</v>
      </c>
      <c r="AQ54" s="494">
        <f t="shared" si="4"/>
        <v>2480</v>
      </c>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row>
    <row r="55" spans="1:99" s="61" customFormat="1" ht="12">
      <c r="A55" s="92"/>
      <c r="B55" s="92"/>
      <c r="C55" s="92"/>
      <c r="D55" s="59"/>
      <c r="E55" s="59"/>
      <c r="F55" s="59"/>
      <c r="G55" s="59"/>
      <c r="H55" s="59"/>
      <c r="I55" s="59"/>
      <c r="J55" s="59"/>
      <c r="K55" s="59"/>
      <c r="L55" s="59"/>
      <c r="M55" s="59"/>
      <c r="N55" s="59"/>
      <c r="O55" s="59"/>
      <c r="P55" s="59"/>
      <c r="Q55" s="59"/>
      <c r="R55" s="59"/>
      <c r="S55" s="59"/>
      <c r="T55" s="59"/>
      <c r="U55" s="59"/>
      <c r="V55" s="59"/>
      <c r="W55" s="59"/>
      <c r="X55" s="59"/>
      <c r="Y55" s="59"/>
      <c r="Z55" s="93"/>
      <c r="AA55" s="93"/>
      <c r="AB55" s="93"/>
      <c r="AC55" s="93"/>
      <c r="AE55" s="93"/>
      <c r="AF55" s="94"/>
      <c r="AG55" s="94"/>
      <c r="AH55" s="60"/>
      <c r="AI55" s="287"/>
      <c r="AJ55" s="60"/>
      <c r="AK55" s="60"/>
      <c r="AL55" s="60"/>
      <c r="AM55" s="60"/>
      <c r="AN55" s="1239"/>
      <c r="AO55" s="60"/>
      <c r="AP55" s="60"/>
      <c r="AQ55" s="60"/>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row>
    <row r="56" spans="1:99" s="61" customFormat="1" ht="12">
      <c r="A56" s="92"/>
      <c r="B56" s="92"/>
      <c r="C56" s="92"/>
      <c r="D56" s="59"/>
      <c r="E56" s="59"/>
      <c r="F56" s="59"/>
      <c r="G56" s="59"/>
      <c r="H56" s="59"/>
      <c r="I56" s="59"/>
      <c r="J56" s="59"/>
      <c r="K56" s="59"/>
      <c r="L56" s="59"/>
      <c r="M56" s="59"/>
      <c r="N56" s="59"/>
      <c r="O56" s="59"/>
      <c r="P56" s="59"/>
      <c r="Q56" s="59"/>
      <c r="R56" s="59"/>
      <c r="S56" s="59"/>
      <c r="T56" s="59"/>
      <c r="U56" s="59"/>
      <c r="V56" s="59"/>
      <c r="W56" s="59"/>
      <c r="X56" s="59"/>
      <c r="Y56" s="59"/>
      <c r="Z56" s="93"/>
      <c r="AA56" s="93"/>
      <c r="AB56" s="93"/>
      <c r="AC56" s="93"/>
      <c r="AE56" s="93"/>
      <c r="AF56" s="94"/>
      <c r="AG56" s="94"/>
      <c r="AH56" s="60"/>
      <c r="AI56" s="287"/>
      <c r="AJ56" s="60"/>
      <c r="AK56" s="60"/>
      <c r="AL56" s="60"/>
      <c r="AM56" s="60"/>
      <c r="AN56" s="1239"/>
      <c r="AO56" s="60"/>
      <c r="AP56" s="60"/>
      <c r="AQ56" s="60"/>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7"/>
    </row>
    <row r="57" spans="1:99" s="102" customFormat="1" ht="12">
      <c r="A57" s="233"/>
      <c r="B57" s="228"/>
      <c r="C57" s="228"/>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34"/>
      <c r="AG57" s="234"/>
      <c r="AH57" s="234"/>
      <c r="AI57" s="234"/>
      <c r="AJ57" s="234"/>
      <c r="AK57" s="234"/>
      <c r="AL57" s="234"/>
      <c r="AM57" s="234"/>
      <c r="AN57" s="1243"/>
      <c r="AO57" s="234"/>
      <c r="AP57" s="234"/>
      <c r="AQ57" s="234"/>
      <c r="AR57" s="234"/>
      <c r="AS57" s="235"/>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row>
    <row r="58" spans="1:99" s="99" customFormat="1" ht="18" customHeight="1">
      <c r="A58" s="231"/>
      <c r="B58" s="236"/>
      <c r="C58" s="1244"/>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1244"/>
      <c r="AO58" s="236"/>
      <c r="AP58" s="236"/>
      <c r="AQ58" s="236"/>
      <c r="AR58" s="236"/>
      <c r="AS58" s="23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row>
    <row r="59" spans="1:99" s="102" customFormat="1" ht="16.5" customHeight="1">
      <c r="A59" s="233"/>
      <c r="B59" s="228"/>
      <c r="C59" s="228"/>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34"/>
      <c r="AK59" s="234"/>
      <c r="AL59" s="234"/>
      <c r="AM59" s="229"/>
      <c r="AN59" s="1242"/>
      <c r="AO59" s="229"/>
      <c r="AP59" s="229"/>
      <c r="AQ59" s="229"/>
      <c r="AR59" s="229"/>
      <c r="AS59" s="235"/>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row>
    <row r="60" spans="1:99" s="102" customFormat="1" ht="12">
      <c r="A60" s="233"/>
      <c r="B60" s="228"/>
      <c r="C60" s="228"/>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34"/>
      <c r="AK60" s="234"/>
      <c r="AL60" s="234"/>
      <c r="AM60" s="229"/>
      <c r="AN60" s="1242"/>
      <c r="AO60" s="229"/>
      <c r="AP60" s="229"/>
      <c r="AQ60" s="229"/>
      <c r="AR60" s="229"/>
      <c r="AS60" s="235"/>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row>
    <row r="61" spans="1:99" s="102" customFormat="1" ht="12">
      <c r="A61" s="233"/>
      <c r="B61" s="228"/>
      <c r="C61" s="228"/>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34"/>
      <c r="AK61" s="234"/>
      <c r="AL61" s="234"/>
      <c r="AM61" s="229"/>
      <c r="AN61" s="1242"/>
      <c r="AO61" s="229"/>
      <c r="AP61" s="229"/>
      <c r="AQ61" s="229"/>
      <c r="AR61" s="229"/>
      <c r="AS61" s="235"/>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row>
    <row r="62" spans="1:99" s="99" customFormat="1" ht="18" customHeight="1">
      <c r="A62" s="237"/>
      <c r="B62" s="236"/>
      <c r="C62" s="1244"/>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1244"/>
      <c r="AO62" s="236"/>
      <c r="AP62" s="236"/>
      <c r="AQ62" s="236"/>
      <c r="AR62" s="236"/>
      <c r="AS62" s="23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row>
    <row r="63" spans="1:99" s="102" customFormat="1" ht="18" customHeight="1">
      <c r="A63" s="233"/>
      <c r="B63" s="228"/>
      <c r="C63" s="228"/>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34"/>
      <c r="AK63" s="234"/>
      <c r="AL63" s="234"/>
      <c r="AM63" s="229"/>
      <c r="AN63" s="1242"/>
      <c r="AO63" s="229"/>
      <c r="AP63" s="229"/>
      <c r="AQ63" s="229"/>
      <c r="AR63" s="229"/>
      <c r="AS63" s="235"/>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row>
    <row r="64" spans="1:99" s="102" customFormat="1" ht="12">
      <c r="A64" s="233"/>
      <c r="B64" s="228"/>
      <c r="C64" s="228"/>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34"/>
      <c r="AK64" s="234"/>
      <c r="AL64" s="234"/>
      <c r="AM64" s="229"/>
      <c r="AN64" s="1242"/>
      <c r="AO64" s="229"/>
      <c r="AP64" s="229"/>
      <c r="AQ64" s="229"/>
      <c r="AR64" s="229"/>
      <c r="AS64" s="235"/>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row>
    <row r="65" spans="1:99" s="102" customFormat="1" ht="12">
      <c r="A65" s="233"/>
      <c r="B65" s="228"/>
      <c r="C65" s="228"/>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34"/>
      <c r="AK65" s="234"/>
      <c r="AL65" s="234"/>
      <c r="AM65" s="229"/>
      <c r="AN65" s="1242"/>
      <c r="AO65" s="229"/>
      <c r="AP65" s="229"/>
      <c r="AQ65" s="229"/>
      <c r="AR65" s="229"/>
      <c r="AS65" s="235"/>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row>
    <row r="66" spans="1:99" s="102" customFormat="1" ht="12">
      <c r="A66" s="238"/>
      <c r="B66" s="228"/>
      <c r="C66" s="228"/>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34"/>
      <c r="AK66" s="234"/>
      <c r="AL66" s="234"/>
      <c r="AM66" s="229"/>
      <c r="AN66" s="1242"/>
      <c r="AO66" s="229"/>
      <c r="AP66" s="229"/>
      <c r="AQ66" s="229"/>
      <c r="AR66" s="229"/>
      <c r="AS66" s="235"/>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row>
    <row r="67" spans="1:99" s="101" customFormat="1" ht="27" customHeight="1">
      <c r="A67" s="238"/>
      <c r="B67" s="239"/>
      <c r="C67" s="1245"/>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40"/>
      <c r="AK67" s="240"/>
      <c r="AL67" s="240"/>
      <c r="AM67" s="239"/>
      <c r="AN67" s="1245"/>
      <c r="AO67" s="239"/>
      <c r="AP67" s="239"/>
      <c r="AQ67" s="239"/>
      <c r="AR67" s="239"/>
      <c r="AS67" s="241"/>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row>
    <row r="68" spans="1:99" ht="24.75" customHeight="1">
      <c r="A68" s="238"/>
      <c r="B68" s="242"/>
      <c r="C68" s="1246"/>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1246"/>
      <c r="AO68" s="242"/>
      <c r="AP68" s="242"/>
      <c r="AQ68" s="242"/>
      <c r="AR68" s="242"/>
      <c r="AS68" s="243"/>
    </row>
    <row r="69" spans="1:99" s="101" customFormat="1" ht="13.5">
      <c r="A69" s="244"/>
      <c r="B69" s="239"/>
      <c r="C69" s="1245"/>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40"/>
      <c r="AK69" s="240"/>
      <c r="AL69" s="240"/>
      <c r="AM69" s="239"/>
      <c r="AN69" s="1245"/>
      <c r="AO69" s="239"/>
      <c r="AP69" s="239"/>
      <c r="AQ69" s="239"/>
      <c r="AR69" s="239"/>
      <c r="AS69" s="241"/>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row>
    <row r="70" spans="1:99" s="101" customFormat="1">
      <c r="A70" s="245"/>
      <c r="B70" s="245"/>
      <c r="C70" s="245"/>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7"/>
      <c r="AK70" s="247"/>
      <c r="AL70" s="247"/>
      <c r="AM70" s="246"/>
      <c r="AN70" s="1248"/>
      <c r="AO70" s="246"/>
      <c r="AP70" s="246"/>
      <c r="AQ70" s="246"/>
      <c r="AR70" s="246"/>
      <c r="AS70" s="241"/>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row>
    <row r="71" spans="1:99" s="103" customFormat="1">
      <c r="A71" s="248"/>
      <c r="B71" s="243"/>
      <c r="C71" s="1247"/>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9"/>
      <c r="AD71" s="249"/>
      <c r="AE71" s="249"/>
      <c r="AF71" s="249"/>
      <c r="AG71" s="249"/>
      <c r="AH71" s="249"/>
      <c r="AI71" s="249"/>
      <c r="AJ71" s="249"/>
      <c r="AK71" s="249"/>
      <c r="AL71" s="249"/>
      <c r="AM71" s="249"/>
      <c r="AN71" s="1249"/>
      <c r="AO71" s="249"/>
      <c r="AP71" s="249"/>
      <c r="AQ71" s="249"/>
      <c r="AR71" s="249"/>
      <c r="AS71" s="243"/>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row>
    <row r="72" spans="1:99" s="104" customFormat="1">
      <c r="A72" s="250"/>
      <c r="B72" s="250"/>
      <c r="C72" s="250"/>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1250"/>
      <c r="AO72" s="251"/>
      <c r="AP72" s="251"/>
      <c r="AQ72" s="251"/>
      <c r="AR72" s="251"/>
      <c r="AS72" s="252"/>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6"/>
      <c r="CN72" s="226"/>
      <c r="CO72" s="226"/>
      <c r="CP72" s="226"/>
      <c r="CQ72" s="226"/>
      <c r="CR72" s="226"/>
      <c r="CS72" s="226"/>
      <c r="CT72" s="226"/>
      <c r="CU72" s="226"/>
    </row>
    <row r="73" spans="1:99">
      <c r="A73" s="248"/>
      <c r="B73" s="243"/>
      <c r="C73" s="1247"/>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1247"/>
      <c r="AO73" s="243"/>
      <c r="AP73" s="243"/>
      <c r="AQ73" s="243"/>
      <c r="AR73" s="243"/>
      <c r="AS73" s="243"/>
    </row>
    <row r="74" spans="1:99" s="100" customFormat="1" ht="13.5">
      <c r="A74" s="253"/>
      <c r="B74" s="230"/>
      <c r="C74" s="230"/>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1251"/>
      <c r="AO74" s="254"/>
      <c r="AP74" s="254"/>
      <c r="AQ74" s="254"/>
      <c r="AR74" s="254"/>
      <c r="AS74" s="23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row>
    <row r="75" spans="1:99">
      <c r="A75" s="253"/>
      <c r="B75" s="243"/>
      <c r="C75" s="1247"/>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1251"/>
      <c r="AO75" s="254"/>
      <c r="AP75" s="254"/>
      <c r="AQ75" s="254"/>
      <c r="AR75" s="254"/>
      <c r="AS75" s="243"/>
    </row>
    <row r="76" spans="1:99">
      <c r="A76" s="243"/>
      <c r="B76" s="243"/>
      <c r="C76" s="1247"/>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1247"/>
      <c r="AO76" s="243"/>
      <c r="AP76" s="243"/>
      <c r="AQ76" s="243"/>
      <c r="AR76" s="243"/>
      <c r="AS76" s="243"/>
    </row>
    <row r="77" spans="1:99">
      <c r="A77" s="243"/>
      <c r="B77" s="243"/>
      <c r="C77" s="1247"/>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1247"/>
      <c r="AO77" s="243"/>
      <c r="AP77" s="243"/>
      <c r="AQ77" s="243"/>
      <c r="AR77" s="243"/>
      <c r="AS77" s="243"/>
    </row>
    <row r="78" spans="1:99">
      <c r="A78" s="243"/>
      <c r="B78" s="243"/>
      <c r="C78" s="1247"/>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1247"/>
      <c r="AO78" s="243"/>
      <c r="AP78" s="243"/>
      <c r="AQ78" s="243"/>
      <c r="AR78" s="243"/>
      <c r="AS78" s="243"/>
    </row>
    <row r="79" spans="1:99">
      <c r="A79" s="243"/>
      <c r="B79" s="243"/>
      <c r="C79" s="1247"/>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1247"/>
      <c r="AO79" s="243"/>
      <c r="AP79" s="243"/>
      <c r="AQ79" s="243"/>
      <c r="AR79" s="243"/>
      <c r="AS79" s="243"/>
    </row>
    <row r="80" spans="1:99">
      <c r="A80" s="243"/>
      <c r="B80" s="243"/>
      <c r="C80" s="1247"/>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1247"/>
      <c r="AO80" s="243"/>
      <c r="AP80" s="243"/>
      <c r="AQ80" s="243"/>
      <c r="AR80" s="243"/>
      <c r="AS80" s="243"/>
    </row>
    <row r="81" spans="1:45">
      <c r="A81" s="243"/>
      <c r="B81" s="243"/>
      <c r="C81" s="1247"/>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1247"/>
      <c r="AO81" s="243"/>
      <c r="AP81" s="243"/>
      <c r="AQ81" s="243"/>
      <c r="AR81" s="243"/>
      <c r="AS81" s="243"/>
    </row>
    <row r="82" spans="1:45">
      <c r="A82" s="243"/>
      <c r="B82" s="243"/>
      <c r="C82" s="1247"/>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1247"/>
      <c r="AO82" s="243"/>
      <c r="AP82" s="243"/>
      <c r="AQ82" s="243"/>
      <c r="AR82" s="243"/>
      <c r="AS82" s="243"/>
    </row>
    <row r="83" spans="1:45">
      <c r="A83" s="243"/>
      <c r="B83" s="243"/>
      <c r="C83" s="1247"/>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1247"/>
      <c r="AO83" s="243"/>
      <c r="AP83" s="243"/>
      <c r="AQ83" s="243"/>
      <c r="AR83" s="243"/>
      <c r="AS83" s="243"/>
    </row>
    <row r="84" spans="1:45">
      <c r="A84" s="243"/>
      <c r="B84" s="243"/>
      <c r="C84" s="1247"/>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1247"/>
      <c r="AO84" s="243"/>
      <c r="AP84" s="243"/>
      <c r="AQ84" s="243"/>
      <c r="AR84" s="243"/>
      <c r="AS84" s="243"/>
    </row>
  </sheetData>
  <protectedRanges>
    <protectedRange sqref="A66" name="Rozstęp1_1_2"/>
    <protectedRange sqref="A12:A14 A16:A17 A6:A10 AP16:AP17 AP14 AN14:AO14 AN16:AO17" name="Rozstęp1_4_1"/>
    <protectedRange sqref="A44:A47" name="Rozstęp1_1"/>
  </protectedRanges>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orientation="portrait"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ES225"/>
  <sheetViews>
    <sheetView view="pageBreakPreview" topLeftCell="A13" zoomScaleNormal="100" zoomScaleSheetLayoutView="100" workbookViewId="0">
      <pane xSplit="1" topLeftCell="B1" activePane="topRight" state="frozen"/>
      <selection pane="topRight" activeCell="AJ35" sqref="AJ35"/>
    </sheetView>
  </sheetViews>
  <sheetFormatPr defaultRowHeight="13.5" outlineLevelCol="1"/>
  <cols>
    <col min="1" max="1" width="56" style="2" customWidth="1"/>
    <col min="2" max="2" width="53.140625" style="2" customWidth="1"/>
    <col min="3" max="3" width="3.28515625" style="2" hidden="1" customWidth="1"/>
    <col min="4" max="16" width="12.7109375" style="2" hidden="1" customWidth="1" outlineLevel="1"/>
    <col min="17" max="17" width="12.7109375" style="33" hidden="1" customWidth="1" outlineLevel="1"/>
    <col min="18" max="18" width="12.7109375" style="114" hidden="1" customWidth="1" outlineLevel="1"/>
    <col min="19" max="35" width="12.7109375" style="2" hidden="1" customWidth="1" outlineLevel="1"/>
    <col min="36" max="36" width="12.7109375" style="2" customWidth="1" collapsed="1"/>
    <col min="37" max="43" width="12.7109375" style="2" customWidth="1"/>
    <col min="44" max="76" width="9.140625" style="201"/>
    <col min="77" max="149" width="9.140625" style="106"/>
    <col min="150" max="16384" width="9.140625" style="2"/>
  </cols>
  <sheetData>
    <row r="1" spans="1:149" s="30" customFormat="1" ht="20.100000000000001" customHeight="1">
      <c r="A1" s="213" t="s">
        <v>390</v>
      </c>
      <c r="B1" s="516" t="s">
        <v>471</v>
      </c>
      <c r="C1" s="516"/>
      <c r="D1" s="31"/>
      <c r="E1" s="31"/>
      <c r="F1" s="31"/>
      <c r="G1" s="31"/>
      <c r="H1" s="31"/>
      <c r="I1" s="31"/>
      <c r="J1" s="31"/>
      <c r="K1" s="31"/>
      <c r="L1" s="31"/>
      <c r="M1" s="31"/>
      <c r="N1" s="31"/>
      <c r="O1" s="31"/>
      <c r="P1" s="517"/>
      <c r="Q1" s="518"/>
      <c r="R1" s="518"/>
      <c r="S1" s="517"/>
      <c r="T1" s="517"/>
      <c r="U1" s="517"/>
      <c r="V1" s="31"/>
      <c r="W1" s="31"/>
      <c r="X1" s="31"/>
      <c r="Y1" s="31"/>
      <c r="Z1" s="31"/>
      <c r="AA1" s="31"/>
      <c r="AB1" s="31"/>
      <c r="AC1" s="31"/>
      <c r="AD1" s="31"/>
      <c r="AE1" s="31"/>
      <c r="AF1" s="31"/>
      <c r="AG1" s="31"/>
      <c r="AH1" s="31"/>
      <c r="AI1" s="31"/>
      <c r="AJ1" s="31"/>
      <c r="AK1" s="31"/>
      <c r="AL1" s="519"/>
      <c r="AM1" s="31"/>
      <c r="AN1" s="31"/>
      <c r="AO1" s="31"/>
      <c r="AP1" s="31"/>
      <c r="AQ1" s="392" t="s">
        <v>800</v>
      </c>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row>
    <row r="2" spans="1:149" s="30" customFormat="1" ht="15">
      <c r="A2" s="213"/>
      <c r="B2" s="516"/>
      <c r="C2" s="516"/>
      <c r="D2" s="31"/>
      <c r="E2" s="31"/>
      <c r="F2" s="31"/>
      <c r="G2" s="31"/>
      <c r="H2" s="31"/>
      <c r="I2" s="31"/>
      <c r="J2" s="31"/>
      <c r="K2" s="31"/>
      <c r="L2" s="31"/>
      <c r="M2" s="31"/>
      <c r="N2" s="31"/>
      <c r="O2" s="31"/>
      <c r="P2" s="453" t="s">
        <v>108</v>
      </c>
      <c r="Q2" s="453" t="s">
        <v>108</v>
      </c>
      <c r="R2" s="453" t="s">
        <v>108</v>
      </c>
      <c r="S2" s="453" t="s">
        <v>108</v>
      </c>
      <c r="T2" s="453" t="s">
        <v>108</v>
      </c>
      <c r="U2" s="453" t="s">
        <v>108</v>
      </c>
      <c r="V2" s="453" t="s">
        <v>108</v>
      </c>
      <c r="W2" s="453"/>
      <c r="X2" s="31"/>
      <c r="Y2" s="31"/>
      <c r="Z2" s="31"/>
      <c r="AA2" s="31"/>
      <c r="AB2" s="31"/>
      <c r="AC2" s="31"/>
      <c r="AD2" s="31"/>
      <c r="AE2" s="31"/>
      <c r="AF2" s="31"/>
      <c r="AG2" s="31"/>
      <c r="AH2" s="31"/>
      <c r="AI2" s="31"/>
      <c r="AJ2" s="31"/>
      <c r="AK2" s="31"/>
      <c r="AL2" s="519"/>
      <c r="AM2" s="31"/>
      <c r="AN2" s="31"/>
      <c r="AO2" s="31"/>
      <c r="AP2" s="31"/>
      <c r="AQ2" s="392" t="s">
        <v>801</v>
      </c>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row>
    <row r="3" spans="1:149" s="37" customFormat="1" ht="17.25" customHeight="1" thickBot="1">
      <c r="A3" s="516" t="s">
        <v>478</v>
      </c>
      <c r="B3" s="516" t="s">
        <v>728</v>
      </c>
      <c r="C3" s="516"/>
      <c r="D3" s="519"/>
      <c r="E3" s="519"/>
      <c r="F3" s="519"/>
      <c r="G3" s="519"/>
      <c r="H3" s="519"/>
      <c r="I3" s="519"/>
      <c r="J3" s="519"/>
      <c r="K3" s="519"/>
      <c r="L3" s="519"/>
      <c r="M3" s="519"/>
      <c r="N3" s="519"/>
      <c r="O3" s="519"/>
      <c r="P3" s="453" t="s">
        <v>109</v>
      </c>
      <c r="Q3" s="453" t="s">
        <v>109</v>
      </c>
      <c r="R3" s="453" t="s">
        <v>109</v>
      </c>
      <c r="S3" s="453" t="s">
        <v>109</v>
      </c>
      <c r="T3" s="453" t="s">
        <v>109</v>
      </c>
      <c r="U3" s="453" t="s">
        <v>109</v>
      </c>
      <c r="V3" s="453" t="s">
        <v>109</v>
      </c>
      <c r="W3" s="453"/>
      <c r="X3" s="519"/>
      <c r="Y3" s="519"/>
      <c r="Z3" s="519"/>
      <c r="AA3" s="519"/>
      <c r="AB3" s="519"/>
      <c r="AC3" s="519"/>
      <c r="AD3" s="519"/>
      <c r="AE3" s="519"/>
      <c r="AF3" s="519"/>
      <c r="AG3" s="519"/>
      <c r="AH3" s="519"/>
      <c r="AI3" s="519"/>
      <c r="AJ3" s="519"/>
      <c r="AK3" s="519"/>
      <c r="AL3" s="519"/>
      <c r="AM3" s="519"/>
      <c r="AN3" s="519"/>
      <c r="AO3" s="519"/>
      <c r="AP3" s="519"/>
      <c r="AQ3" s="519"/>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row>
    <row r="4" spans="1:149" s="126" customFormat="1" ht="15.75" thickBot="1">
      <c r="A4" s="343" t="s">
        <v>391</v>
      </c>
      <c r="B4" s="305" t="s">
        <v>180</v>
      </c>
      <c r="C4" s="305"/>
      <c r="D4" s="305" t="s">
        <v>24</v>
      </c>
      <c r="E4" s="305" t="s">
        <v>25</v>
      </c>
      <c r="F4" s="305" t="s">
        <v>26</v>
      </c>
      <c r="G4" s="305" t="s">
        <v>27</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305" t="s">
        <v>43</v>
      </c>
      <c r="X4" s="305" t="s">
        <v>110</v>
      </c>
      <c r="Y4" s="305" t="s">
        <v>111</v>
      </c>
      <c r="Z4" s="305" t="s">
        <v>113</v>
      </c>
      <c r="AA4" s="306" t="s">
        <v>120</v>
      </c>
      <c r="AB4" s="306" t="s">
        <v>114</v>
      </c>
      <c r="AC4" s="306" t="s">
        <v>116</v>
      </c>
      <c r="AD4" s="306" t="s">
        <v>117</v>
      </c>
      <c r="AE4" s="306" t="s">
        <v>119</v>
      </c>
      <c r="AF4" s="306" t="s">
        <v>121</v>
      </c>
      <c r="AG4" s="306" t="s">
        <v>123</v>
      </c>
      <c r="AH4" s="306" t="s">
        <v>124</v>
      </c>
      <c r="AI4" s="306" t="s">
        <v>125</v>
      </c>
      <c r="AJ4" s="306" t="s">
        <v>127</v>
      </c>
      <c r="AK4" s="306" t="s">
        <v>128</v>
      </c>
      <c r="AL4" s="306" t="s">
        <v>129</v>
      </c>
      <c r="AM4" s="306" t="s">
        <v>130</v>
      </c>
      <c r="AN4" s="306" t="s">
        <v>131</v>
      </c>
      <c r="AO4" s="306" t="s">
        <v>223</v>
      </c>
      <c r="AP4" s="306" t="s">
        <v>224</v>
      </c>
      <c r="AQ4" s="344" t="s">
        <v>511</v>
      </c>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BU4" s="557"/>
      <c r="BV4" s="557"/>
      <c r="BW4" s="557"/>
      <c r="BX4" s="557"/>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row>
    <row r="5" spans="1:149" s="19" customFormat="1" ht="15" customHeight="1">
      <c r="A5" s="552" t="s">
        <v>674</v>
      </c>
      <c r="B5" s="553" t="s">
        <v>470</v>
      </c>
      <c r="C5" s="553"/>
      <c r="D5" s="554">
        <v>75.787999999999997</v>
      </c>
      <c r="E5" s="554">
        <v>87.911000000000016</v>
      </c>
      <c r="F5" s="554">
        <v>95.992000000000004</v>
      </c>
      <c r="G5" s="554">
        <v>108.26399999999997</v>
      </c>
      <c r="H5" s="554">
        <v>114.54900000000001</v>
      </c>
      <c r="I5" s="554">
        <v>131.59099999999998</v>
      </c>
      <c r="J5" s="554">
        <v>138.46299999999999</v>
      </c>
      <c r="K5" s="554">
        <v>144.22099999999998</v>
      </c>
      <c r="L5" s="554">
        <v>139.37</v>
      </c>
      <c r="M5" s="554">
        <v>138.92500000000001</v>
      </c>
      <c r="N5" s="554">
        <v>143.19300000000001</v>
      </c>
      <c r="O5" s="554">
        <v>160.61200000000002</v>
      </c>
      <c r="P5" s="555">
        <v>142.65</v>
      </c>
      <c r="Q5" s="555">
        <v>142.92699999999999</v>
      </c>
      <c r="R5" s="555">
        <v>144.72800000000001</v>
      </c>
      <c r="S5" s="555">
        <v>148.21599999999998</v>
      </c>
      <c r="T5" s="554">
        <v>150.68700000000001</v>
      </c>
      <c r="U5" s="554">
        <v>147.786</v>
      </c>
      <c r="V5" s="554">
        <v>143.90199999999999</v>
      </c>
      <c r="W5" s="554">
        <v>143.10900000000004</v>
      </c>
      <c r="X5" s="554">
        <v>135.148</v>
      </c>
      <c r="Y5" s="554">
        <v>149.87699999999998</v>
      </c>
      <c r="Z5" s="554">
        <v>163.84299999999999</v>
      </c>
      <c r="AA5" s="554">
        <v>154.98400000000007</v>
      </c>
      <c r="AB5" s="554">
        <v>149.96700000000001</v>
      </c>
      <c r="AC5" s="554">
        <v>164.68799999999999</v>
      </c>
      <c r="AD5" s="554">
        <v>164.87299999999999</v>
      </c>
      <c r="AE5" s="554">
        <v>157.39000000000001</v>
      </c>
      <c r="AF5" s="554">
        <v>143</v>
      </c>
      <c r="AG5" s="554">
        <v>163</v>
      </c>
      <c r="AH5" s="554">
        <v>151</v>
      </c>
      <c r="AI5" s="554">
        <v>135</v>
      </c>
      <c r="AJ5" s="554">
        <v>151</v>
      </c>
      <c r="AK5" s="554">
        <v>155</v>
      </c>
      <c r="AL5" s="554">
        <v>154</v>
      </c>
      <c r="AM5" s="554">
        <v>156</v>
      </c>
      <c r="AN5" s="554">
        <v>144</v>
      </c>
      <c r="AO5" s="554">
        <v>163</v>
      </c>
      <c r="AP5" s="554">
        <v>161</v>
      </c>
      <c r="AQ5" s="556">
        <v>168</v>
      </c>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row>
    <row r="6" spans="1:149" s="33" customFormat="1" ht="27">
      <c r="A6" s="520" t="s">
        <v>482</v>
      </c>
      <c r="B6" s="521" t="s">
        <v>469</v>
      </c>
      <c r="C6" s="521"/>
      <c r="D6" s="525">
        <v>72.477999999999994</v>
      </c>
      <c r="E6" s="525">
        <v>75.775999999999996</v>
      </c>
      <c r="F6" s="525">
        <v>79.757999999999996</v>
      </c>
      <c r="G6" s="525">
        <v>82.353999999999999</v>
      </c>
      <c r="H6" s="526">
        <v>76.072999999999993</v>
      </c>
      <c r="I6" s="526">
        <v>82.049000000000021</v>
      </c>
      <c r="J6" s="526">
        <v>85.427999999999997</v>
      </c>
      <c r="K6" s="526">
        <v>94.59399999999998</v>
      </c>
      <c r="L6" s="526">
        <v>87.433999999999997</v>
      </c>
      <c r="M6" s="526">
        <v>99.365000000000009</v>
      </c>
      <c r="N6" s="526">
        <v>81.213999999999999</v>
      </c>
      <c r="O6" s="526">
        <v>72.737999999999971</v>
      </c>
      <c r="P6" s="527">
        <v>71.64</v>
      </c>
      <c r="Q6" s="527">
        <v>80.39200000000001</v>
      </c>
      <c r="R6" s="527">
        <v>80.02</v>
      </c>
      <c r="S6" s="527">
        <v>86.156000000000049</v>
      </c>
      <c r="T6" s="528">
        <v>89.41</v>
      </c>
      <c r="U6" s="528">
        <v>93.59899999999999</v>
      </c>
      <c r="V6" s="528">
        <v>106.259</v>
      </c>
      <c r="W6" s="528">
        <v>111.14500000000001</v>
      </c>
      <c r="X6" s="528">
        <v>101.134</v>
      </c>
      <c r="Y6" s="528">
        <v>100.622</v>
      </c>
      <c r="Z6" s="528">
        <v>140.39099999999999</v>
      </c>
      <c r="AA6" s="528">
        <v>102.83300000000004</v>
      </c>
      <c r="AB6" s="528">
        <v>106.544</v>
      </c>
      <c r="AC6" s="528">
        <v>122.621</v>
      </c>
      <c r="AD6" s="528">
        <v>119.81</v>
      </c>
      <c r="AE6" s="528">
        <v>119.50500000000004</v>
      </c>
      <c r="AF6" s="528">
        <v>110</v>
      </c>
      <c r="AG6" s="528">
        <v>106</v>
      </c>
      <c r="AH6" s="528">
        <v>115</v>
      </c>
      <c r="AI6" s="528">
        <v>119</v>
      </c>
      <c r="AJ6" s="529">
        <v>131</v>
      </c>
      <c r="AK6" s="528">
        <v>143</v>
      </c>
      <c r="AL6" s="528">
        <v>148</v>
      </c>
      <c r="AM6" s="528">
        <v>168</v>
      </c>
      <c r="AN6" s="529">
        <v>161</v>
      </c>
      <c r="AO6" s="528">
        <v>160</v>
      </c>
      <c r="AP6" s="528">
        <v>167</v>
      </c>
      <c r="AQ6" s="530">
        <v>152</v>
      </c>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row>
    <row r="7" spans="1:149" s="19" customFormat="1" ht="40.5">
      <c r="A7" s="520" t="s">
        <v>677</v>
      </c>
      <c r="B7" s="521" t="s">
        <v>673</v>
      </c>
      <c r="C7" s="521"/>
      <c r="D7" s="522">
        <v>39.753999999999998</v>
      </c>
      <c r="E7" s="522">
        <v>53.217000000000006</v>
      </c>
      <c r="F7" s="522">
        <v>115.402</v>
      </c>
      <c r="G7" s="522">
        <v>118.93900000000002</v>
      </c>
      <c r="H7" s="522">
        <v>157.99600000000001</v>
      </c>
      <c r="I7" s="522">
        <v>180.08799999999999</v>
      </c>
      <c r="J7" s="522">
        <v>167.03700000000001</v>
      </c>
      <c r="K7" s="522">
        <v>148.37999999999997</v>
      </c>
      <c r="L7" s="522">
        <v>124.83</v>
      </c>
      <c r="M7" s="522">
        <v>137.327</v>
      </c>
      <c r="N7" s="522">
        <v>120.53100000000001</v>
      </c>
      <c r="O7" s="522">
        <v>132.81100000000004</v>
      </c>
      <c r="P7" s="523">
        <f>88.879-47.6</f>
        <v>41.279000000000003</v>
      </c>
      <c r="Q7" s="523">
        <f>113.942-55.8</f>
        <v>58.141999999999996</v>
      </c>
      <c r="R7" s="523">
        <f>104.189-43</f>
        <v>61.188999999999993</v>
      </c>
      <c r="S7" s="523">
        <f>108.329-42.7</f>
        <v>65.628999999999991</v>
      </c>
      <c r="T7" s="522">
        <v>68.37</v>
      </c>
      <c r="U7" s="522">
        <v>63.778999999999996</v>
      </c>
      <c r="V7" s="522">
        <v>58.317999999999998</v>
      </c>
      <c r="W7" s="522">
        <v>75.732000000000028</v>
      </c>
      <c r="X7" s="522">
        <v>65.894999999999996</v>
      </c>
      <c r="Y7" s="522">
        <v>64.117000000000004</v>
      </c>
      <c r="Z7" s="522">
        <v>57.93</v>
      </c>
      <c r="AA7" s="522">
        <v>11</v>
      </c>
      <c r="AB7" s="522">
        <v>43.917000000000002</v>
      </c>
      <c r="AC7" s="522">
        <f>7.276+27.545</f>
        <v>34.820999999999998</v>
      </c>
      <c r="AD7" s="522">
        <v>39.518999999999998</v>
      </c>
      <c r="AE7" s="522">
        <v>28.143000000000001</v>
      </c>
      <c r="AF7" s="522">
        <v>27</v>
      </c>
      <c r="AG7" s="522">
        <v>29</v>
      </c>
      <c r="AH7" s="522">
        <v>43</v>
      </c>
      <c r="AI7" s="522">
        <v>37</v>
      </c>
      <c r="AJ7" s="522">
        <v>43</v>
      </c>
      <c r="AK7" s="522">
        <v>40</v>
      </c>
      <c r="AL7" s="522">
        <v>42</v>
      </c>
      <c r="AM7" s="522">
        <v>42</v>
      </c>
      <c r="AN7" s="522">
        <v>39</v>
      </c>
      <c r="AO7" s="522">
        <v>46</v>
      </c>
      <c r="AP7" s="522">
        <v>40</v>
      </c>
      <c r="AQ7" s="524">
        <v>51</v>
      </c>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row>
    <row r="8" spans="1:149" s="19" customFormat="1" ht="18" customHeight="1">
      <c r="A8" s="520" t="s">
        <v>675</v>
      </c>
      <c r="B8" s="521" t="s">
        <v>468</v>
      </c>
      <c r="C8" s="521"/>
      <c r="D8" s="522">
        <f>10.129</f>
        <v>10.129</v>
      </c>
      <c r="E8" s="522">
        <v>14.141</v>
      </c>
      <c r="F8" s="522">
        <v>14.462</v>
      </c>
      <c r="G8" s="522">
        <v>14.567999999999996</v>
      </c>
      <c r="H8" s="531">
        <f>12.741</f>
        <v>12.741</v>
      </c>
      <c r="I8" s="531">
        <v>20.555</v>
      </c>
      <c r="J8" s="531">
        <v>20.288</v>
      </c>
      <c r="K8" s="531">
        <v>19.677</v>
      </c>
      <c r="L8" s="531">
        <v>15.3</v>
      </c>
      <c r="M8" s="531">
        <v>17.352</v>
      </c>
      <c r="N8" s="531">
        <v>19.901</v>
      </c>
      <c r="O8" s="531">
        <v>17.790999999999993</v>
      </c>
      <c r="P8" s="413">
        <f>15.507</f>
        <v>15.507</v>
      </c>
      <c r="Q8" s="413">
        <v>19.770000000000003</v>
      </c>
      <c r="R8" s="413">
        <v>20.018000000000001</v>
      </c>
      <c r="S8" s="413">
        <v>66.85499999999999</v>
      </c>
      <c r="T8" s="532">
        <f>14.921+5.807</f>
        <v>20.728000000000002</v>
      </c>
      <c r="U8" s="532">
        <v>25.987000000000002</v>
      </c>
      <c r="V8" s="532">
        <f>18.403+5.331</f>
        <v>23.733999999999998</v>
      </c>
      <c r="W8" s="532">
        <v>37.906999999999996</v>
      </c>
      <c r="X8" s="532">
        <f>6.546+20.398</f>
        <v>26.943999999999999</v>
      </c>
      <c r="Y8" s="532">
        <f>23.946+4.971</f>
        <v>28.917000000000002</v>
      </c>
      <c r="Z8" s="532">
        <f>26.757+3.721</f>
        <v>30.478000000000002</v>
      </c>
      <c r="AA8" s="532">
        <v>32.247</v>
      </c>
      <c r="AB8" s="532">
        <f>33.401+4.518</f>
        <v>37.919000000000004</v>
      </c>
      <c r="AC8" s="532">
        <f>20.97+3.67+5.56+1.235</f>
        <v>31.434999999999999</v>
      </c>
      <c r="AD8" s="532">
        <f>17.263+5.146</f>
        <v>22.409000000000002</v>
      </c>
      <c r="AE8" s="532">
        <v>69.836999999999989</v>
      </c>
      <c r="AF8" s="532">
        <v>33</v>
      </c>
      <c r="AG8" s="532">
        <v>33</v>
      </c>
      <c r="AH8" s="532">
        <v>31</v>
      </c>
      <c r="AI8" s="532">
        <v>51</v>
      </c>
      <c r="AJ8" s="533">
        <v>48</v>
      </c>
      <c r="AK8" s="532">
        <v>53</v>
      </c>
      <c r="AL8" s="532">
        <v>45</v>
      </c>
      <c r="AM8" s="532">
        <v>60</v>
      </c>
      <c r="AN8" s="533">
        <v>53</v>
      </c>
      <c r="AO8" s="532">
        <v>43</v>
      </c>
      <c r="AP8" s="532">
        <v>24</v>
      </c>
      <c r="AQ8" s="534">
        <v>22</v>
      </c>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row>
    <row r="9" spans="1:149" s="33" customFormat="1" ht="18" customHeight="1">
      <c r="A9" s="520" t="s">
        <v>678</v>
      </c>
      <c r="B9" s="521" t="s">
        <v>467</v>
      </c>
      <c r="C9" s="521"/>
      <c r="D9" s="525">
        <v>210.59</v>
      </c>
      <c r="E9" s="525">
        <v>234.97200000000001</v>
      </c>
      <c r="F9" s="525">
        <v>237.50200000000001</v>
      </c>
      <c r="G9" s="525">
        <v>249.25500000000002</v>
      </c>
      <c r="H9" s="526">
        <v>229.93</v>
      </c>
      <c r="I9" s="526">
        <v>245.291</v>
      </c>
      <c r="J9" s="526">
        <v>239.68700000000001</v>
      </c>
      <c r="K9" s="526">
        <v>248.52599999999995</v>
      </c>
      <c r="L9" s="526">
        <v>227.10400000000001</v>
      </c>
      <c r="M9" s="526">
        <v>274.322</v>
      </c>
      <c r="N9" s="526">
        <v>265.69299999999998</v>
      </c>
      <c r="O9" s="526">
        <v>281.601</v>
      </c>
      <c r="P9" s="527">
        <v>257.31900000000002</v>
      </c>
      <c r="Q9" s="527">
        <v>294.73999999999995</v>
      </c>
      <c r="R9" s="527">
        <v>296.87400000000002</v>
      </c>
      <c r="S9" s="527">
        <v>337.7999999999999</v>
      </c>
      <c r="T9" s="528">
        <v>293.42500000000001</v>
      </c>
      <c r="U9" s="528">
        <v>295.57400000000001</v>
      </c>
      <c r="V9" s="528">
        <v>347.84100000000001</v>
      </c>
      <c r="W9" s="528">
        <v>377.48199999999991</v>
      </c>
      <c r="X9" s="528">
        <v>337.58300000000003</v>
      </c>
      <c r="Y9" s="528">
        <v>377.36</v>
      </c>
      <c r="Z9" s="528">
        <v>286.35000000000002</v>
      </c>
      <c r="AA9" s="528">
        <v>270.166</v>
      </c>
      <c r="AB9" s="528">
        <v>212.17500000000001</v>
      </c>
      <c r="AC9" s="528">
        <v>248.61600000000001</v>
      </c>
      <c r="AD9" s="528">
        <v>251.892</v>
      </c>
      <c r="AE9" s="528">
        <v>233.22099999999995</v>
      </c>
      <c r="AF9" s="528">
        <v>231</v>
      </c>
      <c r="AG9" s="528">
        <v>272</v>
      </c>
      <c r="AH9" s="528">
        <v>248</v>
      </c>
      <c r="AI9" s="528">
        <v>273</v>
      </c>
      <c r="AJ9" s="529">
        <v>249</v>
      </c>
      <c r="AK9" s="528">
        <v>272</v>
      </c>
      <c r="AL9" s="528">
        <v>312</v>
      </c>
      <c r="AM9" s="528">
        <v>293</v>
      </c>
      <c r="AN9" s="529">
        <v>276</v>
      </c>
      <c r="AO9" s="528">
        <v>313</v>
      </c>
      <c r="AP9" s="528">
        <v>326</v>
      </c>
      <c r="AQ9" s="530">
        <v>328</v>
      </c>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row>
    <row r="10" spans="1:149" s="33" customFormat="1" ht="18" customHeight="1">
      <c r="A10" s="520" t="s">
        <v>479</v>
      </c>
      <c r="B10" s="521" t="s">
        <v>466</v>
      </c>
      <c r="C10" s="521"/>
      <c r="D10" s="525">
        <v>208.96700000000001</v>
      </c>
      <c r="E10" s="525">
        <v>227.405</v>
      </c>
      <c r="F10" s="525">
        <v>229.75299999999999</v>
      </c>
      <c r="G10" s="525">
        <v>229.84900000000002</v>
      </c>
      <c r="H10" s="535">
        <v>233.81200000000001</v>
      </c>
      <c r="I10" s="535">
        <v>227.589</v>
      </c>
      <c r="J10" s="535">
        <v>229.48699999999999</v>
      </c>
      <c r="K10" s="535">
        <v>231.74399999999997</v>
      </c>
      <c r="L10" s="535">
        <v>231.99299999999999</v>
      </c>
      <c r="M10" s="535">
        <v>230.637</v>
      </c>
      <c r="N10" s="535">
        <v>226.78399999999999</v>
      </c>
      <c r="O10" s="535">
        <v>227.07000000000005</v>
      </c>
      <c r="P10" s="536">
        <v>228.31299999999999</v>
      </c>
      <c r="Q10" s="536">
        <v>220.69200000000001</v>
      </c>
      <c r="R10" s="536">
        <v>219.10400000000001</v>
      </c>
      <c r="S10" s="536">
        <v>213.17699999999991</v>
      </c>
      <c r="T10" s="528">
        <v>216.34899999999999</v>
      </c>
      <c r="U10" s="528">
        <v>214.54599999999999</v>
      </c>
      <c r="V10" s="528">
        <v>230.59299999999999</v>
      </c>
      <c r="W10" s="528">
        <v>233.03200000000004</v>
      </c>
      <c r="X10" s="528">
        <v>234.024</v>
      </c>
      <c r="Y10" s="528">
        <v>231.22199999999998</v>
      </c>
      <c r="Z10" s="528">
        <v>224.559</v>
      </c>
      <c r="AA10" s="528">
        <v>232.40100000000007</v>
      </c>
      <c r="AB10" s="528">
        <v>229.63800000000001</v>
      </c>
      <c r="AC10" s="528">
        <v>234.46299999999999</v>
      </c>
      <c r="AD10" s="528">
        <v>211.65100000000001</v>
      </c>
      <c r="AE10" s="528">
        <v>214.94800000000001</v>
      </c>
      <c r="AF10" s="537">
        <v>218</v>
      </c>
      <c r="AG10" s="537">
        <v>220</v>
      </c>
      <c r="AH10" s="537">
        <v>222</v>
      </c>
      <c r="AI10" s="537">
        <v>219</v>
      </c>
      <c r="AJ10" s="529">
        <v>217</v>
      </c>
      <c r="AK10" s="537">
        <v>217</v>
      </c>
      <c r="AL10" s="537">
        <v>211</v>
      </c>
      <c r="AM10" s="537">
        <v>213</v>
      </c>
      <c r="AN10" s="529">
        <v>209</v>
      </c>
      <c r="AO10" s="537">
        <v>206</v>
      </c>
      <c r="AP10" s="537">
        <v>210</v>
      </c>
      <c r="AQ10" s="538">
        <v>211</v>
      </c>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row>
    <row r="11" spans="1:149" s="33" customFormat="1" ht="18" customHeight="1">
      <c r="A11" s="520" t="s">
        <v>481</v>
      </c>
      <c r="B11" s="521" t="s">
        <v>465</v>
      </c>
      <c r="C11" s="521"/>
      <c r="D11" s="525">
        <v>44.784999999999997</v>
      </c>
      <c r="E11" s="525">
        <v>45.013000000000005</v>
      </c>
      <c r="F11" s="525">
        <v>52.771999999999998</v>
      </c>
      <c r="G11" s="525">
        <v>46.65100000000001</v>
      </c>
      <c r="H11" s="535">
        <v>41.822000000000003</v>
      </c>
      <c r="I11" s="535">
        <v>46.942999999999998</v>
      </c>
      <c r="J11" s="535">
        <v>44.668999999999997</v>
      </c>
      <c r="K11" s="535">
        <v>44.249999999999986</v>
      </c>
      <c r="L11" s="535">
        <v>41.628</v>
      </c>
      <c r="M11" s="535">
        <v>40.748000000000005</v>
      </c>
      <c r="N11" s="535">
        <v>39.771999999999998</v>
      </c>
      <c r="O11" s="535">
        <v>38.302999999999997</v>
      </c>
      <c r="P11" s="536">
        <v>34.078000000000003</v>
      </c>
      <c r="Q11" s="536">
        <v>34.23899999999999</v>
      </c>
      <c r="R11" s="536">
        <v>34.313000000000002</v>
      </c>
      <c r="S11" s="536">
        <v>33.820999999999998</v>
      </c>
      <c r="T11" s="528">
        <v>31.562000000000001</v>
      </c>
      <c r="U11" s="528">
        <v>32.134</v>
      </c>
      <c r="V11" s="528">
        <v>32.271000000000001</v>
      </c>
      <c r="W11" s="528">
        <v>30.797999999999998</v>
      </c>
      <c r="X11" s="528">
        <v>28.498000000000001</v>
      </c>
      <c r="Y11" s="528">
        <v>28.721</v>
      </c>
      <c r="Z11" s="528">
        <v>28.745000000000001</v>
      </c>
      <c r="AA11" s="528">
        <v>28.088999999999988</v>
      </c>
      <c r="AB11" s="528">
        <v>25.545999999999999</v>
      </c>
      <c r="AC11" s="528">
        <v>24.876000000000001</v>
      </c>
      <c r="AD11" s="528">
        <v>25.315999999999999</v>
      </c>
      <c r="AE11" s="528">
        <v>25.490999999999993</v>
      </c>
      <c r="AF11" s="537">
        <v>24</v>
      </c>
      <c r="AG11" s="537">
        <v>26</v>
      </c>
      <c r="AH11" s="537">
        <v>26</v>
      </c>
      <c r="AI11" s="537">
        <v>27</v>
      </c>
      <c r="AJ11" s="529">
        <v>25</v>
      </c>
      <c r="AK11" s="537">
        <v>25</v>
      </c>
      <c r="AL11" s="537">
        <v>24</v>
      </c>
      <c r="AM11" s="537">
        <v>24</v>
      </c>
      <c r="AN11" s="529">
        <v>24</v>
      </c>
      <c r="AO11" s="537">
        <v>23</v>
      </c>
      <c r="AP11" s="537">
        <v>22</v>
      </c>
      <c r="AQ11" s="538">
        <v>21</v>
      </c>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row>
    <row r="12" spans="1:149" s="19" customFormat="1" ht="18" customHeight="1">
      <c r="A12" s="520" t="s">
        <v>676</v>
      </c>
      <c r="B12" s="521" t="s">
        <v>464</v>
      </c>
      <c r="C12" s="521"/>
      <c r="D12" s="522">
        <v>9.766</v>
      </c>
      <c r="E12" s="522">
        <v>10.287999999999998</v>
      </c>
      <c r="F12" s="522">
        <v>10.444000000000001</v>
      </c>
      <c r="G12" s="522">
        <v>11.026000000000002</v>
      </c>
      <c r="H12" s="533">
        <v>10.372</v>
      </c>
      <c r="I12" s="533">
        <v>11.143000000000001</v>
      </c>
      <c r="J12" s="533">
        <v>11.39</v>
      </c>
      <c r="K12" s="533">
        <v>11.848999999999997</v>
      </c>
      <c r="L12" s="533">
        <v>11.188000000000001</v>
      </c>
      <c r="M12" s="533">
        <v>12.205</v>
      </c>
      <c r="N12" s="533">
        <v>12.037000000000001</v>
      </c>
      <c r="O12" s="533">
        <v>12.536000000000003</v>
      </c>
      <c r="P12" s="539">
        <v>11.897</v>
      </c>
      <c r="Q12" s="539">
        <v>12.226999999999999</v>
      </c>
      <c r="R12" s="539">
        <v>12.141</v>
      </c>
      <c r="S12" s="539">
        <v>12.520000000000001</v>
      </c>
      <c r="T12" s="532">
        <v>11.933999999999999</v>
      </c>
      <c r="U12" s="532">
        <v>13.031000000000001</v>
      </c>
      <c r="V12" s="532">
        <v>13.419</v>
      </c>
      <c r="W12" s="532">
        <v>13.905999999999997</v>
      </c>
      <c r="X12" s="532">
        <v>13.52</v>
      </c>
      <c r="Y12" s="532">
        <v>18.05</v>
      </c>
      <c r="Z12" s="532">
        <v>18.198</v>
      </c>
      <c r="AA12" s="532">
        <v>18.883999999999997</v>
      </c>
      <c r="AB12" s="532">
        <v>17.776</v>
      </c>
      <c r="AC12" s="532">
        <v>15.846</v>
      </c>
      <c r="AD12" s="532">
        <v>19.637</v>
      </c>
      <c r="AE12" s="532">
        <v>21.175999999999998</v>
      </c>
      <c r="AF12" s="540">
        <v>19</v>
      </c>
      <c r="AG12" s="540">
        <v>22</v>
      </c>
      <c r="AH12" s="540">
        <v>22</v>
      </c>
      <c r="AI12" s="537">
        <v>26</v>
      </c>
      <c r="AJ12" s="533">
        <v>25</v>
      </c>
      <c r="AK12" s="540">
        <v>25</v>
      </c>
      <c r="AL12" s="540">
        <v>25</v>
      </c>
      <c r="AM12" s="540">
        <v>26</v>
      </c>
      <c r="AN12" s="533">
        <v>25</v>
      </c>
      <c r="AO12" s="540">
        <v>25</v>
      </c>
      <c r="AP12" s="540">
        <v>28</v>
      </c>
      <c r="AQ12" s="541">
        <v>26</v>
      </c>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row>
    <row r="13" spans="1:149" s="19" customFormat="1" ht="18" customHeight="1">
      <c r="A13" s="520" t="s">
        <v>490</v>
      </c>
      <c r="B13" s="521" t="s">
        <v>463</v>
      </c>
      <c r="C13" s="521"/>
      <c r="D13" s="522">
        <v>6.7130000000000001</v>
      </c>
      <c r="E13" s="522">
        <v>5.7239999999999993</v>
      </c>
      <c r="F13" s="522">
        <v>7.8529999999999998</v>
      </c>
      <c r="G13" s="522">
        <v>7.5519999999999969</v>
      </c>
      <c r="H13" s="533">
        <v>7.867</v>
      </c>
      <c r="I13" s="533">
        <v>5.7979999999999992</v>
      </c>
      <c r="J13" s="533">
        <v>5.2480000000000002</v>
      </c>
      <c r="K13" s="533">
        <v>7.3419999999999996</v>
      </c>
      <c r="L13" s="533">
        <v>3.42</v>
      </c>
      <c r="M13" s="533">
        <v>7.1980000000000004</v>
      </c>
      <c r="N13" s="533">
        <v>3.6030000000000002</v>
      </c>
      <c r="O13" s="533">
        <v>4.4039999999999999</v>
      </c>
      <c r="P13" s="539">
        <v>6.34</v>
      </c>
      <c r="Q13" s="539">
        <v>3.9269999999999996</v>
      </c>
      <c r="R13" s="539">
        <v>4.4630000000000001</v>
      </c>
      <c r="S13" s="539">
        <v>10.893999999999998</v>
      </c>
      <c r="T13" s="532">
        <v>1.849</v>
      </c>
      <c r="U13" s="532">
        <v>2.069</v>
      </c>
      <c r="V13" s="532">
        <v>2.8149999999999999</v>
      </c>
      <c r="W13" s="532">
        <v>14.193999999999999</v>
      </c>
      <c r="X13" s="532">
        <v>1.357</v>
      </c>
      <c r="Y13" s="532">
        <v>1.143</v>
      </c>
      <c r="Z13" s="532">
        <v>2.3029999999999999</v>
      </c>
      <c r="AA13" s="532">
        <v>4.8099999999999996</v>
      </c>
      <c r="AB13" s="532">
        <v>2.258</v>
      </c>
      <c r="AC13" s="532">
        <v>3.246</v>
      </c>
      <c r="AD13" s="532">
        <v>4.1360000000000001</v>
      </c>
      <c r="AE13" s="532">
        <v>2.6250000000000009</v>
      </c>
      <c r="AF13" s="540">
        <v>3</v>
      </c>
      <c r="AG13" s="540">
        <v>2</v>
      </c>
      <c r="AH13" s="540">
        <v>4</v>
      </c>
      <c r="AI13" s="537">
        <v>3</v>
      </c>
      <c r="AJ13" s="529">
        <v>1</v>
      </c>
      <c r="AK13" s="540">
        <v>2</v>
      </c>
      <c r="AL13" s="540">
        <v>1</v>
      </c>
      <c r="AM13" s="540">
        <v>1</v>
      </c>
      <c r="AN13" s="529">
        <v>0</v>
      </c>
      <c r="AO13" s="542">
        <v>1</v>
      </c>
      <c r="AP13" s="542">
        <v>0</v>
      </c>
      <c r="AQ13" s="543">
        <v>0</v>
      </c>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row>
    <row r="14" spans="1:149" s="19" customFormat="1" ht="18" customHeight="1">
      <c r="A14" s="520" t="s">
        <v>494</v>
      </c>
      <c r="B14" s="521" t="s">
        <v>462</v>
      </c>
      <c r="C14" s="521"/>
      <c r="D14" s="522"/>
      <c r="E14" s="522">
        <v>0</v>
      </c>
      <c r="F14" s="522"/>
      <c r="G14" s="522">
        <v>0</v>
      </c>
      <c r="H14" s="533"/>
      <c r="I14" s="533">
        <v>0</v>
      </c>
      <c r="J14" s="533"/>
      <c r="K14" s="533">
        <v>0</v>
      </c>
      <c r="L14" s="533"/>
      <c r="M14" s="533">
        <v>0</v>
      </c>
      <c r="N14" s="533"/>
      <c r="O14" s="533">
        <v>0</v>
      </c>
      <c r="P14" s="539"/>
      <c r="Q14" s="539">
        <v>0</v>
      </c>
      <c r="R14" s="539"/>
      <c r="S14" s="539">
        <v>0</v>
      </c>
      <c r="T14" s="532"/>
      <c r="U14" s="532">
        <v>0</v>
      </c>
      <c r="V14" s="532"/>
      <c r="W14" s="532">
        <v>0</v>
      </c>
      <c r="X14" s="532"/>
      <c r="Y14" s="532">
        <v>0</v>
      </c>
      <c r="Z14" s="532"/>
      <c r="AA14" s="532">
        <v>0</v>
      </c>
      <c r="AB14" s="532"/>
      <c r="AC14" s="532"/>
      <c r="AD14" s="532"/>
      <c r="AE14" s="532">
        <v>0</v>
      </c>
      <c r="AF14" s="540"/>
      <c r="AG14" s="540">
        <v>11</v>
      </c>
      <c r="AH14" s="540">
        <v>11</v>
      </c>
      <c r="AI14" s="537">
        <v>22</v>
      </c>
      <c r="AJ14" s="529">
        <v>11</v>
      </c>
      <c r="AK14" s="540">
        <v>10</v>
      </c>
      <c r="AL14" s="540">
        <v>11</v>
      </c>
      <c r="AM14" s="540">
        <v>12</v>
      </c>
      <c r="AN14" s="529">
        <v>11</v>
      </c>
      <c r="AO14" s="542">
        <v>11</v>
      </c>
      <c r="AP14" s="542">
        <v>11</v>
      </c>
      <c r="AQ14" s="543">
        <v>13</v>
      </c>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row>
    <row r="15" spans="1:149" s="19" customFormat="1" ht="18" customHeight="1">
      <c r="A15" s="520" t="s">
        <v>811</v>
      </c>
      <c r="B15" s="521" t="s">
        <v>812</v>
      </c>
      <c r="C15" s="521"/>
      <c r="D15" s="522">
        <v>42.228999999999999</v>
      </c>
      <c r="E15" s="522">
        <v>50.015000000000008</v>
      </c>
      <c r="F15" s="522">
        <v>47.981000000000002</v>
      </c>
      <c r="G15" s="522">
        <v>49.30899999999999</v>
      </c>
      <c r="H15" s="522">
        <v>35.050000000000004</v>
      </c>
      <c r="I15" s="522">
        <v>39.493000000000002</v>
      </c>
      <c r="J15" s="522">
        <v>35.216000000000001</v>
      </c>
      <c r="K15" s="522">
        <v>42.615000000000002</v>
      </c>
      <c r="L15" s="522">
        <v>29.201000000000001</v>
      </c>
      <c r="M15" s="522">
        <v>30.307000000000002</v>
      </c>
      <c r="N15" s="522">
        <v>40.802</v>
      </c>
      <c r="O15" s="522">
        <v>35.914999999999999</v>
      </c>
      <c r="P15" s="523">
        <v>34.117000000000004</v>
      </c>
      <c r="Q15" s="523">
        <v>40.1</v>
      </c>
      <c r="R15" s="523">
        <v>40.03</v>
      </c>
      <c r="S15" s="523">
        <v>9.9589999999999961</v>
      </c>
      <c r="T15" s="522">
        <v>37.370000000000005</v>
      </c>
      <c r="U15" s="522">
        <v>34.549999999999997</v>
      </c>
      <c r="V15" s="522">
        <v>36.813000000000002</v>
      </c>
      <c r="W15" s="522">
        <v>48.593000000000004</v>
      </c>
      <c r="X15" s="522">
        <v>29.454000000000001</v>
      </c>
      <c r="Y15" s="522">
        <v>40.664000000000001</v>
      </c>
      <c r="Z15" s="522">
        <v>31.067999999999998</v>
      </c>
      <c r="AA15" s="522">
        <v>48.8</v>
      </c>
      <c r="AB15" s="522">
        <v>40.834000000000003</v>
      </c>
      <c r="AC15" s="522">
        <v>58.169000000000004</v>
      </c>
      <c r="AD15" s="522">
        <v>45.097000000000001</v>
      </c>
      <c r="AE15" s="522">
        <v>16.399999999999999</v>
      </c>
      <c r="AF15" s="522">
        <v>35</v>
      </c>
      <c r="AG15" s="522">
        <v>28</v>
      </c>
      <c r="AH15" s="522">
        <v>24</v>
      </c>
      <c r="AI15" s="522">
        <v>15</v>
      </c>
      <c r="AJ15" s="522">
        <v>28</v>
      </c>
      <c r="AK15" s="522">
        <v>19</v>
      </c>
      <c r="AL15" s="522">
        <v>45</v>
      </c>
      <c r="AM15" s="522">
        <v>15</v>
      </c>
      <c r="AN15" s="522">
        <v>30</v>
      </c>
      <c r="AO15" s="522">
        <v>19</v>
      </c>
      <c r="AP15" s="522">
        <v>32</v>
      </c>
      <c r="AQ15" s="524">
        <v>47</v>
      </c>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row>
    <row r="16" spans="1:149" s="44" customFormat="1" ht="18" customHeight="1">
      <c r="A16" s="544" t="s">
        <v>228</v>
      </c>
      <c r="B16" s="545" t="s">
        <v>353</v>
      </c>
      <c r="C16" s="545"/>
      <c r="D16" s="546">
        <v>721.19899999999996</v>
      </c>
      <c r="E16" s="546">
        <v>804.4620000000001</v>
      </c>
      <c r="F16" s="546">
        <v>891.91899999999998</v>
      </c>
      <c r="G16" s="546">
        <v>917.76700000000039</v>
      </c>
      <c r="H16" s="547">
        <v>920.21199999999999</v>
      </c>
      <c r="I16" s="547">
        <v>990.54</v>
      </c>
      <c r="J16" s="547">
        <v>976.91300000000001</v>
      </c>
      <c r="K16" s="547">
        <v>993.19799999999987</v>
      </c>
      <c r="L16" s="547">
        <v>911.46799999999996</v>
      </c>
      <c r="M16" s="547">
        <v>988.38600000000008</v>
      </c>
      <c r="N16" s="547">
        <v>953.53</v>
      </c>
      <c r="O16" s="547">
        <v>983.78100000000029</v>
      </c>
      <c r="P16" s="548">
        <v>843</v>
      </c>
      <c r="Q16" s="548">
        <v>907</v>
      </c>
      <c r="R16" s="548">
        <v>913</v>
      </c>
      <c r="S16" s="548">
        <v>985</v>
      </c>
      <c r="T16" s="549">
        <v>921.68399999999997</v>
      </c>
      <c r="U16" s="549">
        <v>923.05500000000006</v>
      </c>
      <c r="V16" s="549">
        <v>995.96500000000003</v>
      </c>
      <c r="W16" s="549">
        <v>1085.8979999999997</v>
      </c>
      <c r="X16" s="549">
        <v>973.55600000000004</v>
      </c>
      <c r="Y16" s="549">
        <v>1040.693</v>
      </c>
      <c r="Z16" s="549">
        <v>983.86500000000001</v>
      </c>
      <c r="AA16" s="549">
        <v>903</v>
      </c>
      <c r="AB16" s="549">
        <v>866.57399999999996</v>
      </c>
      <c r="AC16" s="549">
        <v>938.78</v>
      </c>
      <c r="AD16" s="550">
        <v>904.34</v>
      </c>
      <c r="AE16" s="550">
        <v>888.63599999999985</v>
      </c>
      <c r="AF16" s="550">
        <v>843</v>
      </c>
      <c r="AG16" s="550">
        <v>912</v>
      </c>
      <c r="AH16" s="550">
        <v>897</v>
      </c>
      <c r="AI16" s="550">
        <v>927</v>
      </c>
      <c r="AJ16" s="550">
        <v>929</v>
      </c>
      <c r="AK16" s="550">
        <v>961</v>
      </c>
      <c r="AL16" s="550">
        <v>1018</v>
      </c>
      <c r="AM16" s="550">
        <v>1010</v>
      </c>
      <c r="AN16" s="550">
        <v>972</v>
      </c>
      <c r="AO16" s="550">
        <v>1010</v>
      </c>
      <c r="AP16" s="550">
        <v>1021</v>
      </c>
      <c r="AQ16" s="551">
        <v>1039</v>
      </c>
      <c r="AR16" s="558"/>
      <c r="AS16" s="558"/>
      <c r="AT16" s="558"/>
      <c r="AU16" s="558"/>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row>
    <row r="17" spans="1:149" s="64" customFormat="1" ht="17.25" customHeight="1">
      <c r="A17" s="269"/>
      <c r="B17" s="135"/>
      <c r="C17" s="135"/>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row>
    <row r="18" spans="1:149" ht="48">
      <c r="A18" s="1333" t="s">
        <v>810</v>
      </c>
      <c r="B18" s="1333" t="s">
        <v>813</v>
      </c>
      <c r="C18" s="2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row>
    <row r="19" spans="1:149">
      <c r="A19" s="519"/>
      <c r="B19" s="519"/>
      <c r="C19" s="519"/>
      <c r="D19" s="519"/>
      <c r="E19" s="519"/>
      <c r="F19" s="519"/>
      <c r="G19" s="519"/>
      <c r="H19" s="519"/>
      <c r="I19" s="519"/>
      <c r="J19" s="519"/>
      <c r="K19" s="519"/>
      <c r="L19" s="519"/>
      <c r="M19" s="519"/>
      <c r="N19" s="519"/>
      <c r="O19" s="519"/>
      <c r="P19" s="519"/>
      <c r="Q19" s="5"/>
      <c r="R19" s="5"/>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row>
    <row r="20" spans="1:149" s="47" customFormat="1" ht="15.75" thickBot="1">
      <c r="A20" s="45" t="s">
        <v>483</v>
      </c>
      <c r="B20" s="45" t="s">
        <v>507</v>
      </c>
      <c r="C20" s="4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559"/>
      <c r="AS20" s="559"/>
      <c r="AT20" s="559"/>
      <c r="AU20" s="559"/>
      <c r="AV20" s="559"/>
      <c r="AW20" s="559"/>
      <c r="AX20" s="559"/>
      <c r="AY20" s="559"/>
      <c r="AZ20" s="559"/>
      <c r="BA20" s="559"/>
      <c r="BB20" s="559"/>
      <c r="BC20" s="559"/>
      <c r="BD20" s="559"/>
      <c r="BE20" s="559"/>
      <c r="BF20" s="559"/>
      <c r="BG20" s="559"/>
      <c r="BH20" s="559"/>
      <c r="BI20" s="559"/>
      <c r="BJ20" s="559"/>
      <c r="BK20" s="559"/>
      <c r="BL20" s="559"/>
      <c r="BM20" s="559"/>
      <c r="BN20" s="559"/>
      <c r="BO20" s="559"/>
      <c r="BP20" s="559"/>
      <c r="BQ20" s="559"/>
      <c r="BR20" s="559"/>
      <c r="BS20" s="559"/>
      <c r="BT20" s="559"/>
      <c r="BU20" s="559"/>
      <c r="BV20" s="559"/>
      <c r="BW20" s="559"/>
      <c r="BX20" s="559"/>
    </row>
    <row r="21" spans="1:149" s="126" customFormat="1" ht="15.75" thickBot="1">
      <c r="A21" s="343" t="s">
        <v>391</v>
      </c>
      <c r="B21" s="305" t="s">
        <v>180</v>
      </c>
      <c r="C21" s="305"/>
      <c r="D21" s="305" t="s">
        <v>24</v>
      </c>
      <c r="E21" s="305" t="s">
        <v>25</v>
      </c>
      <c r="F21" s="305" t="s">
        <v>26</v>
      </c>
      <c r="G21" s="305" t="s">
        <v>27</v>
      </c>
      <c r="H21" s="305" t="s">
        <v>28</v>
      </c>
      <c r="I21" s="305" t="s">
        <v>29</v>
      </c>
      <c r="J21" s="305" t="s">
        <v>30</v>
      </c>
      <c r="K21" s="305" t="s">
        <v>31</v>
      </c>
      <c r="L21" s="305" t="s">
        <v>32</v>
      </c>
      <c r="M21" s="305" t="s">
        <v>33</v>
      </c>
      <c r="N21" s="305" t="s">
        <v>34</v>
      </c>
      <c r="O21" s="305" t="s">
        <v>35</v>
      </c>
      <c r="P21" s="305" t="s">
        <v>36</v>
      </c>
      <c r="Q21" s="305" t="s">
        <v>37</v>
      </c>
      <c r="R21" s="305" t="s">
        <v>38</v>
      </c>
      <c r="S21" s="305" t="s">
        <v>39</v>
      </c>
      <c r="T21" s="305" t="s">
        <v>40</v>
      </c>
      <c r="U21" s="305" t="s">
        <v>41</v>
      </c>
      <c r="V21" s="305" t="s">
        <v>42</v>
      </c>
      <c r="W21" s="305" t="s">
        <v>43</v>
      </c>
      <c r="X21" s="305" t="s">
        <v>110</v>
      </c>
      <c r="Y21" s="305" t="s">
        <v>111</v>
      </c>
      <c r="Z21" s="305" t="s">
        <v>113</v>
      </c>
      <c r="AA21" s="306" t="s">
        <v>120</v>
      </c>
      <c r="AB21" s="306" t="s">
        <v>114</v>
      </c>
      <c r="AC21" s="306" t="s">
        <v>116</v>
      </c>
      <c r="AD21" s="306" t="s">
        <v>117</v>
      </c>
      <c r="AE21" s="306" t="s">
        <v>119</v>
      </c>
      <c r="AF21" s="306" t="s">
        <v>121</v>
      </c>
      <c r="AG21" s="306" t="s">
        <v>123</v>
      </c>
      <c r="AH21" s="306" t="s">
        <v>124</v>
      </c>
      <c r="AI21" s="306" t="s">
        <v>125</v>
      </c>
      <c r="AJ21" s="306" t="s">
        <v>127</v>
      </c>
      <c r="AK21" s="306" t="s">
        <v>128</v>
      </c>
      <c r="AL21" s="306" t="s">
        <v>129</v>
      </c>
      <c r="AM21" s="306" t="s">
        <v>130</v>
      </c>
      <c r="AN21" s="306" t="s">
        <v>131</v>
      </c>
      <c r="AO21" s="306" t="s">
        <v>223</v>
      </c>
      <c r="AP21" s="306" t="s">
        <v>224</v>
      </c>
      <c r="AQ21" s="344" t="s">
        <v>511</v>
      </c>
      <c r="AR21" s="557"/>
      <c r="AS21" s="557"/>
      <c r="AT21" s="557"/>
      <c r="AU21" s="557"/>
      <c r="AV21" s="557"/>
      <c r="AW21" s="557"/>
      <c r="AX21" s="557"/>
      <c r="AY21" s="557"/>
      <c r="AZ21" s="557"/>
      <c r="BA21" s="557"/>
      <c r="BB21" s="557"/>
      <c r="BC21" s="557"/>
      <c r="BD21" s="557"/>
      <c r="BE21" s="557"/>
      <c r="BF21" s="557"/>
      <c r="BG21" s="557"/>
      <c r="BH21" s="557"/>
      <c r="BI21" s="557"/>
      <c r="BJ21" s="557"/>
      <c r="BK21" s="557"/>
      <c r="BL21" s="557"/>
      <c r="BM21" s="557"/>
      <c r="BN21" s="557"/>
      <c r="BO21" s="557"/>
      <c r="BP21" s="557"/>
      <c r="BQ21" s="557"/>
      <c r="BR21" s="557"/>
      <c r="BS21" s="557"/>
      <c r="BT21" s="557"/>
      <c r="BU21" s="557"/>
      <c r="BV21" s="557"/>
      <c r="BW21" s="557"/>
      <c r="BX21" s="557"/>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row>
    <row r="22" spans="1:149" s="37" customFormat="1" ht="15" customHeight="1">
      <c r="A22" s="552" t="s">
        <v>480</v>
      </c>
      <c r="B22" s="553" t="s">
        <v>504</v>
      </c>
      <c r="C22" s="553"/>
      <c r="D22" s="574">
        <v>-77.168300000000002</v>
      </c>
      <c r="E22" s="574">
        <v>-84.047700000000006</v>
      </c>
      <c r="F22" s="574">
        <v>-84.798000000000002</v>
      </c>
      <c r="G22" s="574">
        <v>-88.385999999999953</v>
      </c>
      <c r="H22" s="574">
        <v>-81.076999999999998</v>
      </c>
      <c r="I22" s="574">
        <v>-77.604000000000013</v>
      </c>
      <c r="J22" s="574">
        <v>-67.144999999999996</v>
      </c>
      <c r="K22" s="574">
        <v>-67.421000000000021</v>
      </c>
      <c r="L22" s="574">
        <v>-69.668999999999997</v>
      </c>
      <c r="M22" s="574">
        <v>-75.561999999999998</v>
      </c>
      <c r="N22" s="574">
        <v>-82.617999999999995</v>
      </c>
      <c r="O22" s="574">
        <v>-92.742999999999981</v>
      </c>
      <c r="P22" s="575">
        <v>-82.078000000000003</v>
      </c>
      <c r="Q22" s="575">
        <v>-98.532999999999987</v>
      </c>
      <c r="R22" s="575">
        <v>-106.182</v>
      </c>
      <c r="S22" s="575">
        <v>-133.471</v>
      </c>
      <c r="T22" s="576">
        <v>-121.393</v>
      </c>
      <c r="U22" s="576">
        <v>-121.96100000000001</v>
      </c>
      <c r="V22" s="576">
        <v>-153.05799999999999</v>
      </c>
      <c r="W22" s="576">
        <v>-179.17199999999994</v>
      </c>
      <c r="X22" s="576">
        <v>-170.86600000000001</v>
      </c>
      <c r="Y22" s="576">
        <v>-199.84599999999998</v>
      </c>
      <c r="Z22" s="576">
        <v>-156.614</v>
      </c>
      <c r="AA22" s="576">
        <v>-142.43199999999999</v>
      </c>
      <c r="AB22" s="576">
        <v>-121.294</v>
      </c>
      <c r="AC22" s="576">
        <v>-103.48</v>
      </c>
      <c r="AD22" s="576">
        <v>-123.502</v>
      </c>
      <c r="AE22" s="576">
        <v>-123.42399999999996</v>
      </c>
      <c r="AF22" s="576">
        <v>-128.66200000000001</v>
      </c>
      <c r="AG22" s="576">
        <v>-156.06200000000001</v>
      </c>
      <c r="AH22" s="576">
        <v>-119</v>
      </c>
      <c r="AI22" s="576">
        <v>-146.97600000000003</v>
      </c>
      <c r="AJ22" s="576">
        <v>-132</v>
      </c>
      <c r="AK22" s="576">
        <v>-152</v>
      </c>
      <c r="AL22" s="576">
        <v>-166</v>
      </c>
      <c r="AM22" s="576">
        <v>-174</v>
      </c>
      <c r="AN22" s="576">
        <v>-153</v>
      </c>
      <c r="AO22" s="576">
        <v>-183</v>
      </c>
      <c r="AP22" s="576">
        <v>-183</v>
      </c>
      <c r="AQ22" s="577">
        <v>-194</v>
      </c>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row>
    <row r="23" spans="1:149" s="37" customFormat="1" ht="27">
      <c r="A23" s="520" t="s">
        <v>495</v>
      </c>
      <c r="B23" s="521" t="s">
        <v>505</v>
      </c>
      <c r="C23" s="521"/>
      <c r="D23" s="561">
        <v>-37.482999999999997</v>
      </c>
      <c r="E23" s="561">
        <v>-39.270000000000003</v>
      </c>
      <c r="F23" s="561">
        <v>-38.368000000000002</v>
      </c>
      <c r="G23" s="561">
        <v>-37.306999999999995</v>
      </c>
      <c r="H23" s="561">
        <v>-35.954999999999998</v>
      </c>
      <c r="I23" s="561">
        <v>-37.159000000000006</v>
      </c>
      <c r="J23" s="561">
        <v>-36.003999999999998</v>
      </c>
      <c r="K23" s="561">
        <v>-35.134000000000015</v>
      </c>
      <c r="L23" s="561">
        <v>-33.597000000000001</v>
      </c>
      <c r="M23" s="561">
        <v>-36.192</v>
      </c>
      <c r="N23" s="561">
        <v>-33.686</v>
      </c>
      <c r="O23" s="561">
        <v>-36.740999999999993</v>
      </c>
      <c r="P23" s="562">
        <f>-27.205+8.1</f>
        <v>-19.104999999999997</v>
      </c>
      <c r="Q23" s="562">
        <v>-27.027999999999999</v>
      </c>
      <c r="R23" s="562">
        <v>-26.077000000000002</v>
      </c>
      <c r="S23" s="562">
        <v>-26.830000000000005</v>
      </c>
      <c r="T23" s="561">
        <v>-25.654</v>
      </c>
      <c r="U23" s="561">
        <v>-25.693000000000001</v>
      </c>
      <c r="V23" s="561">
        <v>-25.135000000000002</v>
      </c>
      <c r="W23" s="561">
        <v>-25.190999999999999</v>
      </c>
      <c r="X23" s="561">
        <v>-23.559000000000001</v>
      </c>
      <c r="Y23" s="561">
        <v>-33.105000000000004</v>
      </c>
      <c r="Z23" s="561">
        <v>-32.243000000000002</v>
      </c>
      <c r="AA23" s="561">
        <v>-23.524999999999988</v>
      </c>
      <c r="AB23" s="561">
        <v>-14.762</v>
      </c>
      <c r="AC23" s="561">
        <v>-15.945</v>
      </c>
      <c r="AD23" s="561">
        <v>-19.436</v>
      </c>
      <c r="AE23" s="561">
        <v>-17.557000000000002</v>
      </c>
      <c r="AF23" s="561">
        <v>-17.548999999999999</v>
      </c>
      <c r="AG23" s="561">
        <v>-23.366</v>
      </c>
      <c r="AH23" s="561">
        <v>-25</v>
      </c>
      <c r="AI23" s="561">
        <v>1.3150000000000048</v>
      </c>
      <c r="AJ23" s="561">
        <v>-16</v>
      </c>
      <c r="AK23" s="561">
        <v>-28</v>
      </c>
      <c r="AL23" s="561">
        <v>-9</v>
      </c>
      <c r="AM23" s="561">
        <v>-8</v>
      </c>
      <c r="AN23" s="562">
        <v>-15</v>
      </c>
      <c r="AO23" s="562">
        <v>-15</v>
      </c>
      <c r="AP23" s="561">
        <v>-12</v>
      </c>
      <c r="AQ23" s="565">
        <v>-13</v>
      </c>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row>
    <row r="24" spans="1:149" s="37" customFormat="1">
      <c r="A24" s="520" t="s">
        <v>489</v>
      </c>
      <c r="B24" s="521" t="s">
        <v>585</v>
      </c>
      <c r="C24" s="521"/>
      <c r="D24" s="561">
        <v>-15.451000000000001</v>
      </c>
      <c r="E24" s="561">
        <v>-19.531999999999996</v>
      </c>
      <c r="F24" s="561">
        <v>-28.603000000000002</v>
      </c>
      <c r="G24" s="561">
        <v>-29.351000000000006</v>
      </c>
      <c r="H24" s="561">
        <v>-35.448999999999998</v>
      </c>
      <c r="I24" s="561">
        <v>-38.527000000000001</v>
      </c>
      <c r="J24" s="561">
        <v>-39.926000000000002</v>
      </c>
      <c r="K24" s="561">
        <v>-36.940000000000012</v>
      </c>
      <c r="L24" s="561">
        <v>-32.262</v>
      </c>
      <c r="M24" s="561">
        <v>-36.201999999999998</v>
      </c>
      <c r="N24" s="561">
        <v>-38.697000000000003</v>
      </c>
      <c r="O24" s="561">
        <v>-26.326999999999998</v>
      </c>
      <c r="P24" s="562">
        <v>-25.061</v>
      </c>
      <c r="Q24" s="562">
        <f>-29.789+10.1</f>
        <v>-19.689</v>
      </c>
      <c r="R24" s="562">
        <f>-27.809+7.9</f>
        <v>-19.908999999999999</v>
      </c>
      <c r="S24" s="562">
        <f>-28.661+8.3</f>
        <v>-20.361000000000001</v>
      </c>
      <c r="T24" s="561">
        <v>-22.271999999999998</v>
      </c>
      <c r="U24" s="561">
        <v>-23.350999999999999</v>
      </c>
      <c r="V24" s="561">
        <v>-23.713999999999999</v>
      </c>
      <c r="W24" s="561">
        <v>-25.667999999999999</v>
      </c>
      <c r="X24" s="561">
        <v>-22.754000000000001</v>
      </c>
      <c r="Y24" s="561"/>
      <c r="Z24" s="561"/>
      <c r="AA24" s="561">
        <v>23</v>
      </c>
      <c r="AB24" s="561"/>
      <c r="AC24" s="561"/>
      <c r="AD24" s="561"/>
      <c r="AE24" s="561">
        <v>0</v>
      </c>
      <c r="AF24" s="561"/>
      <c r="AG24" s="561"/>
      <c r="AH24" s="561"/>
      <c r="AI24" s="561">
        <v>0</v>
      </c>
      <c r="AJ24" s="561"/>
      <c r="AK24" s="561"/>
      <c r="AL24" s="561"/>
      <c r="AM24" s="561">
        <v>0</v>
      </c>
      <c r="AN24" s="561"/>
      <c r="AO24" s="561"/>
      <c r="AP24" s="561"/>
      <c r="AQ24" s="565">
        <v>0</v>
      </c>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row>
    <row r="25" spans="1:149" s="37" customFormat="1" ht="16.5" customHeight="1">
      <c r="A25" s="520" t="s">
        <v>484</v>
      </c>
      <c r="B25" s="521" t="s">
        <v>472</v>
      </c>
      <c r="C25" s="521"/>
      <c r="D25" s="561">
        <v>-2.032</v>
      </c>
      <c r="E25" s="561">
        <v>-1.282</v>
      </c>
      <c r="F25" s="561">
        <v>-1.643</v>
      </c>
      <c r="G25" s="561">
        <v>-1.7770000000000001</v>
      </c>
      <c r="H25" s="561">
        <v>-2.78</v>
      </c>
      <c r="I25" s="561">
        <v>-2.4079999999999999</v>
      </c>
      <c r="J25" s="561">
        <v>-2.6259999999999999</v>
      </c>
      <c r="K25" s="561">
        <v>-2.3230000000000017</v>
      </c>
      <c r="L25" s="561">
        <v>-3.0630000000000002</v>
      </c>
      <c r="M25" s="561">
        <v>-2.4129999999999998</v>
      </c>
      <c r="N25" s="561">
        <v>-2.8</v>
      </c>
      <c r="O25" s="561">
        <v>-3.1590000000000011</v>
      </c>
      <c r="P25" s="562">
        <v>-2.8010000000000002</v>
      </c>
      <c r="Q25" s="562">
        <v>-2.2939999999999996</v>
      </c>
      <c r="R25" s="562">
        <v>-3.0009999999999999</v>
      </c>
      <c r="S25" s="562">
        <v>-2.660000000000001</v>
      </c>
      <c r="T25" s="563">
        <v>-3.0209999999999999</v>
      </c>
      <c r="U25" s="563">
        <v>-2.827</v>
      </c>
      <c r="V25" s="563">
        <v>-3.1179999999999999</v>
      </c>
      <c r="W25" s="563">
        <v>-2.5219999999999994</v>
      </c>
      <c r="X25" s="563">
        <v>-3.3159999999999998</v>
      </c>
      <c r="Y25" s="563">
        <v>-3.5440000000000005</v>
      </c>
      <c r="Z25" s="563">
        <v>-4.5060000000000002</v>
      </c>
      <c r="AA25" s="563">
        <v>-4.5609999999999991</v>
      </c>
      <c r="AB25" s="563">
        <v>-7.5140000000000002</v>
      </c>
      <c r="AC25" s="563">
        <v>-4.3220000000000001</v>
      </c>
      <c r="AD25" s="563">
        <v>-2.7789999999999999</v>
      </c>
      <c r="AE25" s="563">
        <v>-4.2849999999999993</v>
      </c>
      <c r="AF25" s="563">
        <v>-4.343</v>
      </c>
      <c r="AG25" s="563">
        <v>-4.5620000000000003</v>
      </c>
      <c r="AH25" s="563">
        <v>-5</v>
      </c>
      <c r="AI25" s="563">
        <v>-4.4949999999999974</v>
      </c>
      <c r="AJ25" s="563">
        <v>-5</v>
      </c>
      <c r="AK25" s="563">
        <v>-5</v>
      </c>
      <c r="AL25" s="563">
        <v>-3</v>
      </c>
      <c r="AM25" s="563">
        <v>-6</v>
      </c>
      <c r="AN25" s="561">
        <v>-3</v>
      </c>
      <c r="AO25" s="561">
        <v>-3</v>
      </c>
      <c r="AP25" s="563">
        <v>-4</v>
      </c>
      <c r="AQ25" s="564">
        <v>-5</v>
      </c>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row>
    <row r="26" spans="1:149" s="37" customFormat="1">
      <c r="A26" s="520" t="s">
        <v>488</v>
      </c>
      <c r="B26" s="521" t="s">
        <v>473</v>
      </c>
      <c r="C26" s="521"/>
      <c r="D26" s="561"/>
      <c r="E26" s="561">
        <v>-11.788</v>
      </c>
      <c r="F26" s="561">
        <v>-5</v>
      </c>
      <c r="G26" s="561">
        <v>-3.6129999999999995</v>
      </c>
      <c r="H26" s="561"/>
      <c r="I26" s="561">
        <v>-11.823</v>
      </c>
      <c r="J26" s="561">
        <v>-4.6369999999999996</v>
      </c>
      <c r="K26" s="561">
        <v>-5.2910000000000004</v>
      </c>
      <c r="L26" s="561">
        <v>-6.9459999999999997</v>
      </c>
      <c r="M26" s="561">
        <v>-4.9290000000000003</v>
      </c>
      <c r="N26" s="561">
        <v>-4.3</v>
      </c>
      <c r="O26" s="561">
        <v>-4.8019999999999996</v>
      </c>
      <c r="P26" s="562">
        <v>-6.9080000000000004</v>
      </c>
      <c r="Q26" s="562">
        <v>-4.1179999999999994</v>
      </c>
      <c r="R26" s="562">
        <v>-5.532</v>
      </c>
      <c r="S26" s="562">
        <v>-7.5000000000000009</v>
      </c>
      <c r="T26" s="563">
        <v>-7.2249999999999996</v>
      </c>
      <c r="U26" s="563">
        <v>-6.2720000000000002</v>
      </c>
      <c r="V26" s="563">
        <v>-3.972</v>
      </c>
      <c r="W26" s="563">
        <v>-6.9139999999999979</v>
      </c>
      <c r="X26" s="563">
        <v>-7.9859999999999998</v>
      </c>
      <c r="Y26" s="563">
        <v>-5.8839999999999995</v>
      </c>
      <c r="Z26" s="563">
        <v>-7.4939999999999998</v>
      </c>
      <c r="AA26" s="563">
        <v>-6.480999999999999</v>
      </c>
      <c r="AB26" s="563">
        <v>-9.0619999999999994</v>
      </c>
      <c r="AC26" s="563">
        <v>-6.5830000000000002</v>
      </c>
      <c r="AD26" s="563">
        <v>-7.6</v>
      </c>
      <c r="AE26" s="563">
        <v>-6.6549999999999976</v>
      </c>
      <c r="AF26" s="563">
        <v>-9.23</v>
      </c>
      <c r="AG26" s="563">
        <v>-6.117</v>
      </c>
      <c r="AH26" s="563">
        <v>-4</v>
      </c>
      <c r="AI26" s="563">
        <v>-14.052999999999997</v>
      </c>
      <c r="AJ26" s="563">
        <v>-10</v>
      </c>
      <c r="AK26" s="563">
        <v>-7</v>
      </c>
      <c r="AL26" s="563">
        <v>-6</v>
      </c>
      <c r="AM26" s="563">
        <v>-6</v>
      </c>
      <c r="AN26" s="561">
        <v>-10</v>
      </c>
      <c r="AO26" s="561">
        <v>-5</v>
      </c>
      <c r="AP26" s="563">
        <v>-8</v>
      </c>
      <c r="AQ26" s="564">
        <v>-8</v>
      </c>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row>
    <row r="27" spans="1:149" s="43" customFormat="1" ht="27">
      <c r="A27" s="520" t="s">
        <v>493</v>
      </c>
      <c r="B27" s="521" t="s">
        <v>474</v>
      </c>
      <c r="C27" s="521"/>
      <c r="D27" s="562"/>
      <c r="E27" s="562"/>
      <c r="F27" s="562"/>
      <c r="G27" s="562"/>
      <c r="H27" s="562"/>
      <c r="I27" s="562"/>
      <c r="J27" s="562"/>
      <c r="K27" s="562"/>
      <c r="L27" s="562"/>
      <c r="M27" s="562"/>
      <c r="N27" s="562"/>
      <c r="O27" s="562"/>
      <c r="P27" s="562"/>
      <c r="Q27" s="562"/>
      <c r="R27" s="562"/>
      <c r="S27" s="562"/>
      <c r="T27" s="563"/>
      <c r="U27" s="563">
        <v>0</v>
      </c>
      <c r="V27" s="563"/>
      <c r="W27" s="563">
        <v>0</v>
      </c>
      <c r="X27" s="563"/>
      <c r="Y27" s="563">
        <v>0</v>
      </c>
      <c r="Z27" s="563"/>
      <c r="AA27" s="563">
        <v>0</v>
      </c>
      <c r="AB27" s="563"/>
      <c r="AC27" s="563"/>
      <c r="AD27" s="563"/>
      <c r="AE27" s="563">
        <v>-33.799999999999997</v>
      </c>
      <c r="AF27" s="563"/>
      <c r="AG27" s="563">
        <v>-11.225</v>
      </c>
      <c r="AH27" s="563">
        <v>-10</v>
      </c>
      <c r="AI27" s="563">
        <v>-18.574999999999996</v>
      </c>
      <c r="AJ27" s="563">
        <v>-11</v>
      </c>
      <c r="AK27" s="563">
        <v>-10</v>
      </c>
      <c r="AL27" s="563">
        <v>-11</v>
      </c>
      <c r="AM27" s="563">
        <v>-9</v>
      </c>
      <c r="AN27" s="561">
        <v>-11</v>
      </c>
      <c r="AO27" s="561">
        <v>-11</v>
      </c>
      <c r="AP27" s="563">
        <v>-12</v>
      </c>
      <c r="AQ27" s="564">
        <v>-10</v>
      </c>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560"/>
      <c r="BP27" s="560"/>
      <c r="BQ27" s="560"/>
      <c r="BR27" s="560"/>
      <c r="BS27" s="560"/>
      <c r="BT27" s="560"/>
      <c r="BU27" s="560"/>
      <c r="BV27" s="560"/>
      <c r="BW27" s="560"/>
      <c r="BX27" s="560"/>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row>
    <row r="28" spans="1:149" s="43" customFormat="1" ht="15" customHeight="1">
      <c r="A28" s="520" t="s">
        <v>492</v>
      </c>
      <c r="B28" s="521" t="s">
        <v>506</v>
      </c>
      <c r="C28" s="521"/>
      <c r="D28" s="562"/>
      <c r="E28" s="562"/>
      <c r="F28" s="562"/>
      <c r="G28" s="562"/>
      <c r="H28" s="562"/>
      <c r="I28" s="562"/>
      <c r="J28" s="562"/>
      <c r="K28" s="562"/>
      <c r="L28" s="562"/>
      <c r="M28" s="562"/>
      <c r="N28" s="562"/>
      <c r="O28" s="562"/>
      <c r="P28" s="562"/>
      <c r="Q28" s="562"/>
      <c r="R28" s="562"/>
      <c r="S28" s="562"/>
      <c r="T28" s="563"/>
      <c r="U28" s="563">
        <v>0</v>
      </c>
      <c r="V28" s="563"/>
      <c r="W28" s="563">
        <v>0</v>
      </c>
      <c r="X28" s="563"/>
      <c r="Y28" s="563">
        <v>0</v>
      </c>
      <c r="Z28" s="563"/>
      <c r="AA28" s="563">
        <v>0</v>
      </c>
      <c r="AB28" s="563"/>
      <c r="AC28" s="563"/>
      <c r="AD28" s="563"/>
      <c r="AE28" s="563">
        <v>-17.899999999999999</v>
      </c>
      <c r="AF28" s="563"/>
      <c r="AG28" s="563">
        <v>-4</v>
      </c>
      <c r="AH28" s="563">
        <v>-4</v>
      </c>
      <c r="AI28" s="563">
        <v>-7.8000000000000007</v>
      </c>
      <c r="AJ28" s="563">
        <v>-5</v>
      </c>
      <c r="AK28" s="563">
        <v>-5</v>
      </c>
      <c r="AL28" s="563">
        <v>-5</v>
      </c>
      <c r="AM28" s="563">
        <v>-6</v>
      </c>
      <c r="AN28" s="561">
        <v>-6</v>
      </c>
      <c r="AO28" s="561">
        <v>-7</v>
      </c>
      <c r="AP28" s="563">
        <v>-6</v>
      </c>
      <c r="AQ28" s="564">
        <v>-8</v>
      </c>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O28" s="560"/>
      <c r="BP28" s="560"/>
      <c r="BQ28" s="560"/>
      <c r="BR28" s="560"/>
      <c r="BS28" s="560"/>
      <c r="BT28" s="560"/>
      <c r="BU28" s="560"/>
      <c r="BV28" s="560"/>
      <c r="BW28" s="560"/>
      <c r="BX28" s="560"/>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row>
    <row r="29" spans="1:149" s="33" customFormat="1" ht="27">
      <c r="A29" s="520" t="s">
        <v>731</v>
      </c>
      <c r="B29" s="521" t="s">
        <v>461</v>
      </c>
      <c r="C29" s="521"/>
      <c r="D29" s="563">
        <v>-38.701999999999998</v>
      </c>
      <c r="E29" s="563">
        <v>-27.396999999999998</v>
      </c>
      <c r="F29" s="563">
        <v>-32.206000000000003</v>
      </c>
      <c r="G29" s="563">
        <v>-47.418000000000006</v>
      </c>
      <c r="H29" s="563">
        <v>-39.619999999999997</v>
      </c>
      <c r="I29" s="563">
        <v>-21.241</v>
      </c>
      <c r="J29" s="563">
        <v>-28.995000000000001</v>
      </c>
      <c r="K29" s="563">
        <v>-28.061999999999987</v>
      </c>
      <c r="L29" s="563">
        <v>-28.737000000000002</v>
      </c>
      <c r="M29" s="563">
        <v>-28.879000000000001</v>
      </c>
      <c r="N29" s="563">
        <v>-23.126999999999999</v>
      </c>
      <c r="O29" s="563">
        <v>-28.270000000000007</v>
      </c>
      <c r="P29" s="566">
        <v>-23.247</v>
      </c>
      <c r="Q29" s="566">
        <v>-21.965</v>
      </c>
      <c r="R29" s="566">
        <v>-25.599999999999998</v>
      </c>
      <c r="S29" s="566">
        <v>-21.751000000000012</v>
      </c>
      <c r="T29" s="563">
        <f>-21.78-2.799</f>
        <v>-24.579000000000001</v>
      </c>
      <c r="U29" s="563">
        <v>-26.075000000000003</v>
      </c>
      <c r="V29" s="563">
        <v>-29.743000000000002</v>
      </c>
      <c r="W29" s="563">
        <v>-32.319999999999986</v>
      </c>
      <c r="X29" s="563">
        <f>-28.923-10.737</f>
        <v>-39.659999999999997</v>
      </c>
      <c r="Y29" s="563">
        <v>-14.700000000000003</v>
      </c>
      <c r="Z29" s="563">
        <f>-38.544-17.703</f>
        <v>-56.247</v>
      </c>
      <c r="AA29" s="563">
        <v>-31.861000000000018</v>
      </c>
      <c r="AB29" s="563">
        <f>-31.955-2.837</f>
        <v>-34.792000000000002</v>
      </c>
      <c r="AC29" s="563">
        <v>-51.067999999999998</v>
      </c>
      <c r="AD29" s="563">
        <v>-30.475000000000001</v>
      </c>
      <c r="AE29" s="563">
        <v>8.5349999999999966</v>
      </c>
      <c r="AF29" s="563">
        <v>-48.471999999999994</v>
      </c>
      <c r="AG29" s="563">
        <v>-39.158000000000001</v>
      </c>
      <c r="AH29" s="563">
        <v>-44</v>
      </c>
      <c r="AI29" s="563">
        <v>-31.86999999999999</v>
      </c>
      <c r="AJ29" s="563">
        <v>-40</v>
      </c>
      <c r="AK29" s="563">
        <v>-21</v>
      </c>
      <c r="AL29" s="563">
        <v>-52</v>
      </c>
      <c r="AM29" s="563">
        <v>-41</v>
      </c>
      <c r="AN29" s="563">
        <v>-37</v>
      </c>
      <c r="AO29" s="563">
        <v>-41</v>
      </c>
      <c r="AP29" s="563">
        <v>-36</v>
      </c>
      <c r="AQ29" s="564">
        <v>-32</v>
      </c>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row>
    <row r="30" spans="1:149" s="33" customFormat="1" ht="15">
      <c r="A30" s="544" t="s">
        <v>228</v>
      </c>
      <c r="B30" s="567" t="s">
        <v>353</v>
      </c>
      <c r="C30" s="567"/>
      <c r="D30" s="550">
        <v>-171.309</v>
      </c>
      <c r="E30" s="550">
        <v>-182.56500000000003</v>
      </c>
      <c r="F30" s="550">
        <v>-190.61799999999999</v>
      </c>
      <c r="G30" s="550">
        <v>-207.85200000000006</v>
      </c>
      <c r="H30" s="550">
        <v>-194.79</v>
      </c>
      <c r="I30" s="550">
        <v>-188.73999999999998</v>
      </c>
      <c r="J30" s="550">
        <v>-179.333</v>
      </c>
      <c r="K30" s="550">
        <v>-175.17100000000002</v>
      </c>
      <c r="L30" s="550">
        <v>-174.274</v>
      </c>
      <c r="M30" s="550">
        <v>-184.17700000000002</v>
      </c>
      <c r="N30" s="550">
        <v>-185.22800000000001</v>
      </c>
      <c r="O30" s="550">
        <v>-192.04199999999992</v>
      </c>
      <c r="P30" s="550">
        <v>-159</v>
      </c>
      <c r="Q30" s="550">
        <v>-174</v>
      </c>
      <c r="R30" s="550">
        <v>-186</v>
      </c>
      <c r="S30" s="550">
        <v>-213</v>
      </c>
      <c r="T30" s="550">
        <v>-204.14400000000001</v>
      </c>
      <c r="U30" s="550">
        <v>-206.17899999999997</v>
      </c>
      <c r="V30" s="550">
        <v>-239.42099999999999</v>
      </c>
      <c r="W30" s="550">
        <v>-271.10600000000011</v>
      </c>
      <c r="X30" s="550">
        <v>-268.14100000000002</v>
      </c>
      <c r="Y30" s="550">
        <v>-257</v>
      </c>
      <c r="Z30" s="550">
        <v>-257</v>
      </c>
      <c r="AA30" s="550">
        <v>-186</v>
      </c>
      <c r="AB30" s="550">
        <v>-187</v>
      </c>
      <c r="AC30" s="550">
        <v>-181.398</v>
      </c>
      <c r="AD30" s="550">
        <v>-183.792</v>
      </c>
      <c r="AE30" s="550">
        <v>-195.08599999999998</v>
      </c>
      <c r="AF30" s="550">
        <v>-208.256</v>
      </c>
      <c r="AG30" s="550">
        <v>-244.49</v>
      </c>
      <c r="AH30" s="550">
        <v>-211</v>
      </c>
      <c r="AI30" s="550">
        <v>-222.45400000000004</v>
      </c>
      <c r="AJ30" s="550">
        <v>-219</v>
      </c>
      <c r="AK30" s="550">
        <v>-228</v>
      </c>
      <c r="AL30" s="550">
        <v>-252</v>
      </c>
      <c r="AM30" s="550">
        <v>-250</v>
      </c>
      <c r="AN30" s="550">
        <v>-235</v>
      </c>
      <c r="AO30" s="550">
        <v>-265</v>
      </c>
      <c r="AP30" s="550">
        <v>-261</v>
      </c>
      <c r="AQ30" s="551">
        <v>-268</v>
      </c>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row>
    <row r="31" spans="1:149" s="72" customFormat="1" ht="12">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71"/>
      <c r="BZ31" s="271"/>
      <c r="CA31" s="271"/>
      <c r="CB31" s="271"/>
      <c r="CC31" s="271"/>
      <c r="CD31" s="271"/>
      <c r="CE31" s="271"/>
      <c r="CF31" s="271"/>
      <c r="CG31" s="271"/>
      <c r="CH31" s="271"/>
      <c r="CI31" s="271"/>
      <c r="CJ31" s="271"/>
      <c r="CK31" s="271"/>
      <c r="CL31" s="271"/>
      <c r="CM31" s="271"/>
      <c r="CN31" s="271"/>
      <c r="CO31" s="271"/>
      <c r="CP31" s="271"/>
      <c r="CQ31" s="271"/>
      <c r="CR31" s="271"/>
      <c r="CS31" s="271"/>
      <c r="CT31" s="271"/>
      <c r="CU31" s="271"/>
      <c r="CV31" s="271"/>
      <c r="CW31" s="271"/>
      <c r="CX31" s="271"/>
      <c r="CY31" s="271"/>
      <c r="CZ31" s="271"/>
      <c r="DA31" s="271"/>
      <c r="DB31" s="271"/>
      <c r="DC31" s="271"/>
      <c r="DD31" s="271"/>
      <c r="DE31" s="271"/>
      <c r="DF31" s="271"/>
      <c r="DG31" s="271"/>
      <c r="DH31" s="271"/>
      <c r="DI31" s="271"/>
      <c r="DJ31" s="271"/>
      <c r="DK31" s="271"/>
      <c r="DL31" s="271"/>
      <c r="DM31" s="271"/>
      <c r="DN31" s="271"/>
      <c r="DO31" s="271"/>
      <c r="DP31" s="271"/>
      <c r="DQ31" s="271"/>
      <c r="DR31" s="271"/>
      <c r="DS31" s="271"/>
      <c r="DT31" s="271"/>
      <c r="DU31" s="271"/>
      <c r="DV31" s="271"/>
      <c r="DW31" s="271"/>
      <c r="DX31" s="271"/>
      <c r="DY31" s="271"/>
      <c r="DZ31" s="271"/>
      <c r="EA31" s="271"/>
      <c r="EB31" s="271"/>
      <c r="EC31" s="271"/>
      <c r="ED31" s="271"/>
      <c r="EE31" s="271"/>
      <c r="EF31" s="271"/>
      <c r="EG31" s="271"/>
      <c r="EH31" s="271"/>
      <c r="EI31" s="271"/>
      <c r="EJ31" s="271"/>
      <c r="EK31" s="271"/>
      <c r="EL31" s="271"/>
      <c r="EM31" s="271"/>
      <c r="EN31" s="271"/>
      <c r="EO31" s="271"/>
      <c r="EP31" s="271"/>
      <c r="EQ31" s="271"/>
      <c r="ER31" s="271"/>
      <c r="ES31" s="271"/>
    </row>
    <row r="32" spans="1:149" ht="51.75" customHeight="1" thickBot="1">
      <c r="A32" s="1334" t="s">
        <v>672</v>
      </c>
      <c r="B32" s="1334" t="s">
        <v>815</v>
      </c>
      <c r="C32" s="71"/>
      <c r="D32" s="1354"/>
      <c r="E32" s="1354"/>
      <c r="F32" s="1354"/>
      <c r="G32" s="1354"/>
      <c r="H32" s="1354"/>
      <c r="I32" s="1354"/>
      <c r="J32" s="1354"/>
      <c r="K32" s="1354"/>
      <c r="Q32" s="2"/>
      <c r="R32" s="2"/>
      <c r="AD32" s="67"/>
      <c r="AM32" s="67"/>
    </row>
    <row r="33" spans="1:149" s="16" customFormat="1" ht="20.25" customHeight="1" thickBot="1">
      <c r="A33" s="568" t="s">
        <v>6</v>
      </c>
      <c r="B33" s="569" t="s">
        <v>146</v>
      </c>
      <c r="C33" s="569"/>
      <c r="D33" s="570">
        <v>549.89</v>
      </c>
      <c r="E33" s="570">
        <v>621.89700000000005</v>
      </c>
      <c r="F33" s="570">
        <v>701.30100000000004</v>
      </c>
      <c r="G33" s="570">
        <v>709.91499999999996</v>
      </c>
      <c r="H33" s="570">
        <v>725.42200000000003</v>
      </c>
      <c r="I33" s="570">
        <v>801.8</v>
      </c>
      <c r="J33" s="570">
        <v>797.58</v>
      </c>
      <c r="K33" s="570">
        <v>818.02700000000004</v>
      </c>
      <c r="L33" s="570">
        <v>737.19399999999996</v>
      </c>
      <c r="M33" s="570">
        <v>804.20899999999995</v>
      </c>
      <c r="N33" s="570">
        <v>768.30200000000002</v>
      </c>
      <c r="O33" s="570">
        <v>791.73900000000003</v>
      </c>
      <c r="P33" s="571">
        <v>683.9</v>
      </c>
      <c r="Q33" s="571">
        <v>733.5</v>
      </c>
      <c r="R33" s="571">
        <v>726.7</v>
      </c>
      <c r="S33" s="571">
        <f>S16+S30</f>
        <v>772</v>
      </c>
      <c r="T33" s="570">
        <v>717.54</v>
      </c>
      <c r="U33" s="570">
        <v>717</v>
      </c>
      <c r="V33" s="570">
        <v>756.54399999999998</v>
      </c>
      <c r="W33" s="570">
        <v>814.79200000000003</v>
      </c>
      <c r="X33" s="570">
        <v>705.41499999999996</v>
      </c>
      <c r="Y33" s="570">
        <v>783.61400000000003</v>
      </c>
      <c r="Z33" s="570">
        <v>726.76099999999997</v>
      </c>
      <c r="AA33" s="570">
        <v>717.71600000000001</v>
      </c>
      <c r="AB33" s="570">
        <v>679.15</v>
      </c>
      <c r="AC33" s="570">
        <v>757.38199999999995</v>
      </c>
      <c r="AD33" s="570">
        <v>720.548</v>
      </c>
      <c r="AE33" s="570">
        <v>693.548</v>
      </c>
      <c r="AF33" s="570">
        <v>635.44500000000005</v>
      </c>
      <c r="AG33" s="570">
        <v>666.57100000000003</v>
      </c>
      <c r="AH33" s="570">
        <v>686.26900000000001</v>
      </c>
      <c r="AI33" s="571">
        <v>705.11499999999955</v>
      </c>
      <c r="AJ33" s="570">
        <v>710</v>
      </c>
      <c r="AK33" s="572">
        <f>SUM(AK32:AK32)</f>
        <v>0</v>
      </c>
      <c r="AL33" s="572">
        <v>766</v>
      </c>
      <c r="AM33" s="572">
        <v>760</v>
      </c>
      <c r="AN33" s="570">
        <v>737</v>
      </c>
      <c r="AO33" s="570">
        <v>745</v>
      </c>
      <c r="AP33" s="570">
        <v>760</v>
      </c>
      <c r="AQ33" s="573">
        <f>AQ16+AQ30</f>
        <v>771</v>
      </c>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c r="DV33" s="213"/>
      <c r="DW33" s="213"/>
      <c r="DX33" s="213"/>
      <c r="DY33" s="213"/>
      <c r="DZ33" s="213"/>
      <c r="EA33" s="213"/>
      <c r="EB33" s="213"/>
      <c r="EC33" s="213"/>
      <c r="ED33" s="213"/>
      <c r="EE33" s="213"/>
      <c r="EF33" s="213"/>
      <c r="EG33" s="213"/>
      <c r="EH33" s="213"/>
      <c r="EI33" s="213"/>
      <c r="EJ33" s="213"/>
      <c r="EK33" s="213"/>
      <c r="EL33" s="213"/>
      <c r="EM33" s="213"/>
      <c r="EN33" s="213"/>
      <c r="EO33" s="213"/>
      <c r="EP33" s="213"/>
      <c r="EQ33" s="213"/>
      <c r="ER33" s="213"/>
      <c r="ES33" s="213"/>
    </row>
    <row r="34" spans="1:149" s="146" customFormat="1">
      <c r="Q34" s="145"/>
      <c r="R34" s="145"/>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N34" s="201"/>
      <c r="EO34" s="201"/>
      <c r="EP34" s="201"/>
      <c r="EQ34" s="201"/>
      <c r="ER34" s="201"/>
      <c r="ES34" s="201"/>
    </row>
    <row r="35" spans="1:149" s="146" customFormat="1">
      <c r="Q35" s="145"/>
      <c r="R35" s="145"/>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c r="EO35" s="201"/>
      <c r="EP35" s="201"/>
      <c r="EQ35" s="201"/>
      <c r="ER35" s="201"/>
      <c r="ES35" s="201"/>
    </row>
    <row r="36" spans="1:149" s="146" customFormat="1">
      <c r="Q36" s="145"/>
      <c r="R36" s="145"/>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c r="EI36" s="201"/>
      <c r="EJ36" s="201"/>
      <c r="EK36" s="201"/>
      <c r="EL36" s="201"/>
      <c r="EM36" s="201"/>
      <c r="EN36" s="201"/>
      <c r="EO36" s="201"/>
      <c r="EP36" s="201"/>
      <c r="EQ36" s="201"/>
      <c r="ER36" s="201"/>
      <c r="ES36" s="201"/>
    </row>
    <row r="37" spans="1:149" s="146" customFormat="1">
      <c r="Q37" s="145"/>
      <c r="R37" s="145"/>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01"/>
      <c r="EH37" s="201"/>
      <c r="EI37" s="201"/>
      <c r="EJ37" s="201"/>
      <c r="EK37" s="201"/>
      <c r="EL37" s="201"/>
      <c r="EM37" s="201"/>
      <c r="EN37" s="201"/>
      <c r="EO37" s="201"/>
      <c r="EP37" s="201"/>
      <c r="EQ37" s="201"/>
      <c r="ER37" s="201"/>
      <c r="ES37" s="201"/>
    </row>
    <row r="38" spans="1:149" s="146" customFormat="1">
      <c r="Q38" s="145"/>
      <c r="R38" s="145"/>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c r="EO38" s="201"/>
      <c r="EP38" s="201"/>
      <c r="EQ38" s="201"/>
      <c r="ER38" s="201"/>
      <c r="ES38" s="201"/>
    </row>
    <row r="39" spans="1:149" s="146" customFormat="1">
      <c r="Q39" s="145"/>
      <c r="R39" s="145"/>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N39" s="201"/>
      <c r="EO39" s="201"/>
      <c r="EP39" s="201"/>
      <c r="EQ39" s="201"/>
      <c r="ER39" s="201"/>
      <c r="ES39" s="201"/>
    </row>
    <row r="40" spans="1:149" s="146" customFormat="1">
      <c r="Q40" s="145"/>
      <c r="R40" s="145"/>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N40" s="201"/>
      <c r="EO40" s="201"/>
      <c r="EP40" s="201"/>
      <c r="EQ40" s="201"/>
      <c r="ER40" s="201"/>
      <c r="ES40" s="201"/>
    </row>
    <row r="41" spans="1:149" s="146" customFormat="1">
      <c r="Q41" s="145"/>
      <c r="R41" s="145"/>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c r="EO41" s="201"/>
      <c r="EP41" s="201"/>
      <c r="EQ41" s="201"/>
      <c r="ER41" s="201"/>
      <c r="ES41" s="201"/>
    </row>
    <row r="42" spans="1:149" s="146" customFormat="1">
      <c r="Q42" s="145"/>
      <c r="R42" s="145"/>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1"/>
      <c r="EN42" s="201"/>
      <c r="EO42" s="201"/>
      <c r="EP42" s="201"/>
      <c r="EQ42" s="201"/>
      <c r="ER42" s="201"/>
      <c r="ES42" s="201"/>
    </row>
    <row r="43" spans="1:149" s="146" customFormat="1">
      <c r="Q43" s="145"/>
      <c r="R43" s="145"/>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01"/>
      <c r="EH43" s="201"/>
      <c r="EI43" s="201"/>
      <c r="EJ43" s="201"/>
      <c r="EK43" s="201"/>
      <c r="EL43" s="201"/>
      <c r="EM43" s="201"/>
      <c r="EN43" s="201"/>
      <c r="EO43" s="201"/>
      <c r="EP43" s="201"/>
      <c r="EQ43" s="201"/>
      <c r="ER43" s="201"/>
      <c r="ES43" s="201"/>
    </row>
    <row r="44" spans="1:149" s="146" customFormat="1">
      <c r="Q44" s="145"/>
      <c r="R44" s="145"/>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c r="DS44" s="201"/>
      <c r="DT44" s="201"/>
      <c r="DU44" s="201"/>
      <c r="DV44" s="201"/>
      <c r="DW44" s="201"/>
      <c r="DX44" s="201"/>
      <c r="DY44" s="201"/>
      <c r="DZ44" s="201"/>
      <c r="EA44" s="201"/>
      <c r="EB44" s="201"/>
      <c r="EC44" s="201"/>
      <c r="ED44" s="201"/>
      <c r="EE44" s="201"/>
      <c r="EF44" s="201"/>
      <c r="EG44" s="201"/>
      <c r="EH44" s="201"/>
      <c r="EI44" s="201"/>
      <c r="EJ44" s="201"/>
      <c r="EK44" s="201"/>
      <c r="EL44" s="201"/>
      <c r="EM44" s="201"/>
      <c r="EN44" s="201"/>
      <c r="EO44" s="201"/>
      <c r="EP44" s="201"/>
      <c r="EQ44" s="201"/>
      <c r="ER44" s="201"/>
      <c r="ES44" s="201"/>
    </row>
    <row r="45" spans="1:149" s="146" customFormat="1">
      <c r="Q45" s="145"/>
      <c r="R45" s="145"/>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c r="DV45" s="201"/>
      <c r="DW45" s="201"/>
      <c r="DX45" s="201"/>
      <c r="DY45" s="201"/>
      <c r="DZ45" s="201"/>
      <c r="EA45" s="201"/>
      <c r="EB45" s="201"/>
      <c r="EC45" s="201"/>
      <c r="ED45" s="201"/>
      <c r="EE45" s="201"/>
      <c r="EF45" s="201"/>
      <c r="EG45" s="201"/>
      <c r="EH45" s="201"/>
      <c r="EI45" s="201"/>
      <c r="EJ45" s="201"/>
      <c r="EK45" s="201"/>
      <c r="EL45" s="201"/>
      <c r="EM45" s="201"/>
      <c r="EN45" s="201"/>
      <c r="EO45" s="201"/>
      <c r="EP45" s="201"/>
      <c r="EQ45" s="201"/>
      <c r="ER45" s="201"/>
      <c r="ES45" s="201"/>
    </row>
    <row r="46" spans="1:149" s="146" customFormat="1">
      <c r="Q46" s="145"/>
      <c r="R46" s="145"/>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c r="EI46" s="201"/>
      <c r="EJ46" s="201"/>
      <c r="EK46" s="201"/>
      <c r="EL46" s="201"/>
      <c r="EM46" s="201"/>
      <c r="EN46" s="201"/>
      <c r="EO46" s="201"/>
      <c r="EP46" s="201"/>
      <c r="EQ46" s="201"/>
      <c r="ER46" s="201"/>
      <c r="ES46" s="201"/>
    </row>
    <row r="47" spans="1:149" s="146" customFormat="1">
      <c r="Q47" s="145"/>
      <c r="R47" s="145"/>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01"/>
      <c r="EH47" s="201"/>
      <c r="EI47" s="201"/>
      <c r="EJ47" s="201"/>
      <c r="EK47" s="201"/>
      <c r="EL47" s="201"/>
      <c r="EM47" s="201"/>
      <c r="EN47" s="201"/>
      <c r="EO47" s="201"/>
      <c r="EP47" s="201"/>
      <c r="EQ47" s="201"/>
      <c r="ER47" s="201"/>
      <c r="ES47" s="201"/>
    </row>
    <row r="48" spans="1:149" s="146" customFormat="1">
      <c r="Q48" s="145"/>
      <c r="R48" s="145"/>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c r="EI48" s="201"/>
      <c r="EJ48" s="201"/>
      <c r="EK48" s="201"/>
      <c r="EL48" s="201"/>
      <c r="EM48" s="201"/>
      <c r="EN48" s="201"/>
      <c r="EO48" s="201"/>
      <c r="EP48" s="201"/>
      <c r="EQ48" s="201"/>
      <c r="ER48" s="201"/>
      <c r="ES48" s="201"/>
    </row>
    <row r="49" spans="17:149" s="146" customFormat="1">
      <c r="Q49" s="145"/>
      <c r="R49" s="145"/>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N49" s="201"/>
      <c r="EO49" s="201"/>
      <c r="EP49" s="201"/>
      <c r="EQ49" s="201"/>
      <c r="ER49" s="201"/>
      <c r="ES49" s="201"/>
    </row>
    <row r="50" spans="17:149" s="146" customFormat="1">
      <c r="Q50" s="145"/>
      <c r="R50" s="145"/>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01"/>
      <c r="DV50" s="201"/>
      <c r="DW50" s="201"/>
      <c r="DX50" s="201"/>
      <c r="DY50" s="201"/>
      <c r="DZ50" s="201"/>
      <c r="EA50" s="201"/>
      <c r="EB50" s="201"/>
      <c r="EC50" s="201"/>
      <c r="ED50" s="201"/>
      <c r="EE50" s="201"/>
      <c r="EF50" s="201"/>
      <c r="EG50" s="201"/>
      <c r="EH50" s="201"/>
      <c r="EI50" s="201"/>
      <c r="EJ50" s="201"/>
      <c r="EK50" s="201"/>
      <c r="EL50" s="201"/>
      <c r="EM50" s="201"/>
      <c r="EN50" s="201"/>
      <c r="EO50" s="201"/>
      <c r="EP50" s="201"/>
      <c r="EQ50" s="201"/>
      <c r="ER50" s="201"/>
      <c r="ES50" s="201"/>
    </row>
    <row r="51" spans="17:149" s="146" customFormat="1">
      <c r="Q51" s="145"/>
      <c r="R51" s="145"/>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c r="DS51" s="201"/>
      <c r="DT51" s="201"/>
      <c r="DU51" s="201"/>
      <c r="DV51" s="201"/>
      <c r="DW51" s="201"/>
      <c r="DX51" s="201"/>
      <c r="DY51" s="201"/>
      <c r="DZ51" s="201"/>
      <c r="EA51" s="201"/>
      <c r="EB51" s="201"/>
      <c r="EC51" s="201"/>
      <c r="ED51" s="201"/>
      <c r="EE51" s="201"/>
      <c r="EF51" s="201"/>
      <c r="EG51" s="201"/>
      <c r="EH51" s="201"/>
      <c r="EI51" s="201"/>
      <c r="EJ51" s="201"/>
      <c r="EK51" s="201"/>
      <c r="EL51" s="201"/>
      <c r="EM51" s="201"/>
      <c r="EN51" s="201"/>
      <c r="EO51" s="201"/>
      <c r="EP51" s="201"/>
      <c r="EQ51" s="201"/>
      <c r="ER51" s="201"/>
      <c r="ES51" s="201"/>
    </row>
    <row r="52" spans="17:149" s="146" customFormat="1">
      <c r="Q52" s="145"/>
      <c r="R52" s="145"/>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01"/>
      <c r="EH52" s="201"/>
      <c r="EI52" s="201"/>
      <c r="EJ52" s="201"/>
      <c r="EK52" s="201"/>
      <c r="EL52" s="201"/>
      <c r="EM52" s="201"/>
      <c r="EN52" s="201"/>
      <c r="EO52" s="201"/>
      <c r="EP52" s="201"/>
      <c r="EQ52" s="201"/>
      <c r="ER52" s="201"/>
      <c r="ES52" s="201"/>
    </row>
    <row r="53" spans="17:149" s="146" customFormat="1">
      <c r="Q53" s="145"/>
      <c r="R53" s="145"/>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row>
    <row r="54" spans="17:149" s="146" customFormat="1">
      <c r="Q54" s="145"/>
      <c r="R54" s="145"/>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1"/>
      <c r="EQ54" s="201"/>
      <c r="ER54" s="201"/>
      <c r="ES54" s="201"/>
    </row>
    <row r="55" spans="17:149" s="146" customFormat="1">
      <c r="Q55" s="145"/>
      <c r="R55" s="145"/>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c r="EO55" s="201"/>
      <c r="EP55" s="201"/>
      <c r="EQ55" s="201"/>
      <c r="ER55" s="201"/>
      <c r="ES55" s="201"/>
    </row>
    <row r="56" spans="17:149" s="146" customFormat="1">
      <c r="Q56" s="145"/>
      <c r="R56" s="145"/>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c r="EF56" s="201"/>
      <c r="EG56" s="201"/>
      <c r="EH56" s="201"/>
      <c r="EI56" s="201"/>
      <c r="EJ56" s="201"/>
      <c r="EK56" s="201"/>
      <c r="EL56" s="201"/>
      <c r="EM56" s="201"/>
      <c r="EN56" s="201"/>
      <c r="EO56" s="201"/>
      <c r="EP56" s="201"/>
      <c r="EQ56" s="201"/>
      <c r="ER56" s="201"/>
      <c r="ES56" s="201"/>
    </row>
    <row r="57" spans="17:149" s="146" customFormat="1">
      <c r="Q57" s="145"/>
      <c r="R57" s="145"/>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01"/>
      <c r="DV57" s="201"/>
      <c r="DW57" s="201"/>
      <c r="DX57" s="201"/>
      <c r="DY57" s="201"/>
      <c r="DZ57" s="201"/>
      <c r="EA57" s="201"/>
      <c r="EB57" s="201"/>
      <c r="EC57" s="201"/>
      <c r="ED57" s="201"/>
      <c r="EE57" s="201"/>
      <c r="EF57" s="201"/>
      <c r="EG57" s="201"/>
      <c r="EH57" s="201"/>
      <c r="EI57" s="201"/>
      <c r="EJ57" s="201"/>
      <c r="EK57" s="201"/>
      <c r="EL57" s="201"/>
      <c r="EM57" s="201"/>
      <c r="EN57" s="201"/>
      <c r="EO57" s="201"/>
      <c r="EP57" s="201"/>
      <c r="EQ57" s="201"/>
      <c r="ER57" s="201"/>
      <c r="ES57" s="201"/>
    </row>
    <row r="58" spans="17:149" s="146" customFormat="1">
      <c r="Q58" s="145"/>
      <c r="R58" s="145"/>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c r="EI58" s="201"/>
      <c r="EJ58" s="201"/>
      <c r="EK58" s="201"/>
      <c r="EL58" s="201"/>
      <c r="EM58" s="201"/>
      <c r="EN58" s="201"/>
      <c r="EO58" s="201"/>
      <c r="EP58" s="201"/>
      <c r="EQ58" s="201"/>
      <c r="ER58" s="201"/>
      <c r="ES58" s="201"/>
    </row>
    <row r="59" spans="17:149" s="146" customFormat="1">
      <c r="Q59" s="145"/>
      <c r="R59" s="145"/>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c r="EO59" s="201"/>
      <c r="EP59" s="201"/>
      <c r="EQ59" s="201"/>
      <c r="ER59" s="201"/>
      <c r="ES59" s="201"/>
    </row>
    <row r="60" spans="17:149" s="146" customFormat="1">
      <c r="Q60" s="145"/>
      <c r="R60" s="145"/>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1"/>
      <c r="ER60" s="201"/>
      <c r="ES60" s="201"/>
    </row>
    <row r="61" spans="17:149" s="146" customFormat="1">
      <c r="Q61" s="145"/>
      <c r="R61" s="145"/>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c r="DS61" s="201"/>
      <c r="DT61" s="201"/>
      <c r="DU61" s="201"/>
      <c r="DV61" s="201"/>
      <c r="DW61" s="201"/>
      <c r="DX61" s="201"/>
      <c r="DY61" s="201"/>
      <c r="DZ61" s="201"/>
      <c r="EA61" s="201"/>
      <c r="EB61" s="201"/>
      <c r="EC61" s="201"/>
      <c r="ED61" s="201"/>
      <c r="EE61" s="201"/>
      <c r="EF61" s="201"/>
      <c r="EG61" s="201"/>
      <c r="EH61" s="201"/>
      <c r="EI61" s="201"/>
      <c r="EJ61" s="201"/>
      <c r="EK61" s="201"/>
      <c r="EL61" s="201"/>
      <c r="EM61" s="201"/>
      <c r="EN61" s="201"/>
      <c r="EO61" s="201"/>
      <c r="EP61" s="201"/>
      <c r="EQ61" s="201"/>
      <c r="ER61" s="201"/>
      <c r="ES61" s="201"/>
    </row>
    <row r="62" spans="17:149" s="146" customFormat="1">
      <c r="Q62" s="145"/>
      <c r="R62" s="145"/>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c r="EO62" s="201"/>
      <c r="EP62" s="201"/>
      <c r="EQ62" s="201"/>
      <c r="ER62" s="201"/>
      <c r="ES62" s="201"/>
    </row>
    <row r="63" spans="17:149" s="146" customFormat="1">
      <c r="Q63" s="145"/>
      <c r="R63" s="145"/>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c r="EO63" s="201"/>
      <c r="EP63" s="201"/>
      <c r="EQ63" s="201"/>
      <c r="ER63" s="201"/>
      <c r="ES63" s="201"/>
    </row>
    <row r="64" spans="17:149" s="146" customFormat="1">
      <c r="Q64" s="145"/>
      <c r="R64" s="145"/>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c r="EP64" s="201"/>
      <c r="EQ64" s="201"/>
      <c r="ER64" s="201"/>
      <c r="ES64" s="201"/>
    </row>
    <row r="65" spans="17:149" s="146" customFormat="1">
      <c r="Q65" s="145"/>
      <c r="R65" s="145"/>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c r="EO65" s="201"/>
      <c r="EP65" s="201"/>
      <c r="EQ65" s="201"/>
      <c r="ER65" s="201"/>
      <c r="ES65" s="201"/>
    </row>
    <row r="66" spans="17:149" s="146" customFormat="1">
      <c r="Q66" s="145"/>
      <c r="R66" s="145"/>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row>
    <row r="67" spans="17:149" s="146" customFormat="1">
      <c r="Q67" s="145"/>
      <c r="R67" s="145"/>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row>
    <row r="68" spans="17:149" s="146" customFormat="1">
      <c r="Q68" s="145"/>
      <c r="R68" s="145"/>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row>
    <row r="69" spans="17:149" s="146" customFormat="1">
      <c r="Q69" s="145"/>
      <c r="R69" s="145"/>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c r="EO69" s="201"/>
      <c r="EP69" s="201"/>
      <c r="EQ69" s="201"/>
      <c r="ER69" s="201"/>
      <c r="ES69" s="201"/>
    </row>
    <row r="70" spans="17:149" s="146" customFormat="1">
      <c r="Q70" s="145"/>
      <c r="R70" s="145"/>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c r="EO70" s="201"/>
      <c r="EP70" s="201"/>
      <c r="EQ70" s="201"/>
      <c r="ER70" s="201"/>
      <c r="ES70" s="201"/>
    </row>
    <row r="71" spans="17:149" s="146" customFormat="1">
      <c r="Q71" s="145"/>
      <c r="R71" s="145"/>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c r="EO71" s="201"/>
      <c r="EP71" s="201"/>
      <c r="EQ71" s="201"/>
      <c r="ER71" s="201"/>
      <c r="ES71" s="201"/>
    </row>
    <row r="72" spans="17:149" s="146" customFormat="1">
      <c r="Q72" s="145"/>
      <c r="R72" s="145"/>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01"/>
      <c r="EH72" s="201"/>
      <c r="EI72" s="201"/>
      <c r="EJ72" s="201"/>
      <c r="EK72" s="201"/>
      <c r="EL72" s="201"/>
      <c r="EM72" s="201"/>
      <c r="EN72" s="201"/>
      <c r="EO72" s="201"/>
      <c r="EP72" s="201"/>
      <c r="EQ72" s="201"/>
      <c r="ER72" s="201"/>
      <c r="ES72" s="201"/>
    </row>
    <row r="73" spans="17:149" s="146" customFormat="1">
      <c r="Q73" s="145"/>
      <c r="R73" s="145"/>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1"/>
      <c r="DW73" s="201"/>
      <c r="DX73" s="201"/>
      <c r="DY73" s="201"/>
      <c r="DZ73" s="201"/>
      <c r="EA73" s="201"/>
      <c r="EB73" s="201"/>
      <c r="EC73" s="201"/>
      <c r="ED73" s="201"/>
      <c r="EE73" s="201"/>
      <c r="EF73" s="201"/>
      <c r="EG73" s="201"/>
      <c r="EH73" s="201"/>
      <c r="EI73" s="201"/>
      <c r="EJ73" s="201"/>
      <c r="EK73" s="201"/>
      <c r="EL73" s="201"/>
      <c r="EM73" s="201"/>
      <c r="EN73" s="201"/>
      <c r="EO73" s="201"/>
      <c r="EP73" s="201"/>
      <c r="EQ73" s="201"/>
      <c r="ER73" s="201"/>
      <c r="ES73" s="201"/>
    </row>
    <row r="74" spans="17:149" s="146" customFormat="1">
      <c r="Q74" s="145"/>
      <c r="R74" s="145"/>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c r="EO74" s="201"/>
      <c r="EP74" s="201"/>
      <c r="EQ74" s="201"/>
      <c r="ER74" s="201"/>
      <c r="ES74" s="201"/>
    </row>
    <row r="75" spans="17:149" s="146" customFormat="1">
      <c r="Q75" s="145"/>
      <c r="R75" s="145"/>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c r="EO75" s="201"/>
      <c r="EP75" s="201"/>
      <c r="EQ75" s="201"/>
      <c r="ER75" s="201"/>
      <c r="ES75" s="201"/>
    </row>
    <row r="76" spans="17:149" s="146" customFormat="1">
      <c r="Q76" s="145"/>
      <c r="R76" s="145"/>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s="201"/>
      <c r="EG76" s="201"/>
      <c r="EH76" s="201"/>
      <c r="EI76" s="201"/>
      <c r="EJ76" s="201"/>
      <c r="EK76" s="201"/>
      <c r="EL76" s="201"/>
      <c r="EM76" s="201"/>
      <c r="EN76" s="201"/>
      <c r="EO76" s="201"/>
      <c r="EP76" s="201"/>
      <c r="EQ76" s="201"/>
      <c r="ER76" s="201"/>
      <c r="ES76" s="201"/>
    </row>
    <row r="77" spans="17:149" s="146" customFormat="1">
      <c r="Q77" s="145"/>
      <c r="R77" s="145"/>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1"/>
      <c r="CD77" s="201"/>
      <c r="CE77" s="201"/>
      <c r="CF77" s="201"/>
      <c r="CG77" s="201"/>
      <c r="CH77" s="201"/>
      <c r="CI77" s="201"/>
      <c r="CJ77" s="201"/>
      <c r="CK77" s="201"/>
      <c r="CL77" s="201"/>
      <c r="CM77" s="201"/>
      <c r="CN77" s="201"/>
      <c r="CO77" s="201"/>
      <c r="CP77" s="201"/>
      <c r="CQ77" s="201"/>
      <c r="CR77" s="201"/>
      <c r="CS77" s="201"/>
      <c r="CT77" s="201"/>
      <c r="CU77" s="201"/>
      <c r="CV77" s="201"/>
      <c r="CW77" s="201"/>
      <c r="CX77" s="201"/>
      <c r="CY77" s="201"/>
      <c r="CZ77" s="201"/>
      <c r="DA77" s="201"/>
      <c r="DB77" s="201"/>
      <c r="DC77" s="201"/>
      <c r="DD77" s="201"/>
      <c r="DE77" s="201"/>
      <c r="DF77" s="201"/>
      <c r="DG77" s="201"/>
      <c r="DH77" s="201"/>
      <c r="DI77" s="201"/>
      <c r="DJ77" s="201"/>
      <c r="DK77" s="201"/>
      <c r="DL77" s="201"/>
      <c r="DM77" s="201"/>
      <c r="DN77" s="201"/>
      <c r="DO77" s="201"/>
      <c r="DP77" s="201"/>
      <c r="DQ77" s="201"/>
      <c r="DR77" s="201"/>
      <c r="DS77" s="201"/>
      <c r="DT77" s="201"/>
      <c r="DU77" s="201"/>
      <c r="DV77" s="201"/>
      <c r="DW77" s="201"/>
      <c r="DX77" s="201"/>
      <c r="DY77" s="201"/>
      <c r="DZ77" s="201"/>
      <c r="EA77" s="201"/>
      <c r="EB77" s="201"/>
      <c r="EC77" s="201"/>
      <c r="ED77" s="201"/>
      <c r="EE77" s="201"/>
      <c r="EF77" s="201"/>
      <c r="EG77" s="201"/>
      <c r="EH77" s="201"/>
      <c r="EI77" s="201"/>
      <c r="EJ77" s="201"/>
      <c r="EK77" s="201"/>
      <c r="EL77" s="201"/>
      <c r="EM77" s="201"/>
      <c r="EN77" s="201"/>
      <c r="EO77" s="201"/>
      <c r="EP77" s="201"/>
      <c r="EQ77" s="201"/>
      <c r="ER77" s="201"/>
      <c r="ES77" s="201"/>
    </row>
    <row r="78" spans="17:149" s="146" customFormat="1">
      <c r="Q78" s="145"/>
      <c r="R78" s="145"/>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c r="DP78" s="201"/>
      <c r="DQ78" s="201"/>
      <c r="DR78" s="201"/>
      <c r="DS78" s="201"/>
      <c r="DT78" s="201"/>
      <c r="DU78" s="201"/>
      <c r="DV78" s="201"/>
      <c r="DW78" s="201"/>
      <c r="DX78" s="201"/>
      <c r="DY78" s="201"/>
      <c r="DZ78" s="201"/>
      <c r="EA78" s="201"/>
      <c r="EB78" s="201"/>
      <c r="EC78" s="201"/>
      <c r="ED78" s="201"/>
      <c r="EE78" s="201"/>
      <c r="EF78" s="201"/>
      <c r="EG78" s="201"/>
      <c r="EH78" s="201"/>
      <c r="EI78" s="201"/>
      <c r="EJ78" s="201"/>
      <c r="EK78" s="201"/>
      <c r="EL78" s="201"/>
      <c r="EM78" s="201"/>
      <c r="EN78" s="201"/>
      <c r="EO78" s="201"/>
      <c r="EP78" s="201"/>
      <c r="EQ78" s="201"/>
      <c r="ER78" s="201"/>
      <c r="ES78" s="201"/>
    </row>
    <row r="79" spans="17:149" s="146" customFormat="1">
      <c r="Q79" s="145"/>
      <c r="R79" s="145"/>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c r="DS79" s="201"/>
      <c r="DT79" s="201"/>
      <c r="DU79" s="201"/>
      <c r="DV79" s="201"/>
      <c r="DW79" s="201"/>
      <c r="DX79" s="201"/>
      <c r="DY79" s="201"/>
      <c r="DZ79" s="201"/>
      <c r="EA79" s="201"/>
      <c r="EB79" s="201"/>
      <c r="EC79" s="201"/>
      <c r="ED79" s="201"/>
      <c r="EE79" s="201"/>
      <c r="EF79" s="201"/>
      <c r="EG79" s="201"/>
      <c r="EH79" s="201"/>
      <c r="EI79" s="201"/>
      <c r="EJ79" s="201"/>
      <c r="EK79" s="201"/>
      <c r="EL79" s="201"/>
      <c r="EM79" s="201"/>
      <c r="EN79" s="201"/>
      <c r="EO79" s="201"/>
      <c r="EP79" s="201"/>
      <c r="EQ79" s="201"/>
      <c r="ER79" s="201"/>
      <c r="ES79" s="201"/>
    </row>
    <row r="80" spans="17:149" s="146" customFormat="1">
      <c r="Q80" s="145"/>
      <c r="R80" s="145"/>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c r="CD80" s="201"/>
      <c r="CE80" s="201"/>
      <c r="CF80" s="201"/>
      <c r="CG80" s="201"/>
      <c r="CH80" s="201"/>
      <c r="CI80" s="201"/>
      <c r="CJ80" s="201"/>
      <c r="CK80" s="201"/>
      <c r="CL80" s="201"/>
      <c r="CM80" s="201"/>
      <c r="CN80" s="201"/>
      <c r="CO80" s="201"/>
      <c r="CP80" s="201"/>
      <c r="CQ80" s="201"/>
      <c r="CR80" s="201"/>
      <c r="CS80" s="201"/>
      <c r="CT80" s="201"/>
      <c r="CU80" s="201"/>
      <c r="CV80" s="201"/>
      <c r="CW80" s="201"/>
      <c r="CX80" s="201"/>
      <c r="CY80" s="201"/>
      <c r="CZ80" s="201"/>
      <c r="DA80" s="201"/>
      <c r="DB80" s="201"/>
      <c r="DC80" s="201"/>
      <c r="DD80" s="201"/>
      <c r="DE80" s="201"/>
      <c r="DF80" s="201"/>
      <c r="DG80" s="201"/>
      <c r="DH80" s="201"/>
      <c r="DI80" s="201"/>
      <c r="DJ80" s="201"/>
      <c r="DK80" s="201"/>
      <c r="DL80" s="201"/>
      <c r="DM80" s="201"/>
      <c r="DN80" s="201"/>
      <c r="DO80" s="201"/>
      <c r="DP80" s="201"/>
      <c r="DQ80" s="201"/>
      <c r="DR80" s="201"/>
      <c r="DS80" s="201"/>
      <c r="DT80" s="201"/>
      <c r="DU80" s="201"/>
      <c r="DV80" s="201"/>
      <c r="DW80" s="201"/>
      <c r="DX80" s="201"/>
      <c r="DY80" s="201"/>
      <c r="DZ80" s="201"/>
      <c r="EA80" s="201"/>
      <c r="EB80" s="201"/>
      <c r="EC80" s="201"/>
      <c r="ED80" s="201"/>
      <c r="EE80" s="201"/>
      <c r="EF80" s="201"/>
      <c r="EG80" s="201"/>
      <c r="EH80" s="201"/>
      <c r="EI80" s="201"/>
      <c r="EJ80" s="201"/>
      <c r="EK80" s="201"/>
      <c r="EL80" s="201"/>
      <c r="EM80" s="201"/>
      <c r="EN80" s="201"/>
      <c r="EO80" s="201"/>
      <c r="EP80" s="201"/>
      <c r="EQ80" s="201"/>
      <c r="ER80" s="201"/>
      <c r="ES80" s="201"/>
    </row>
    <row r="81" spans="17:149" s="146" customFormat="1">
      <c r="Q81" s="145"/>
      <c r="R81" s="145"/>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1"/>
      <c r="BZ81" s="201"/>
      <c r="CA81" s="201"/>
      <c r="CB81" s="201"/>
      <c r="CC81" s="201"/>
      <c r="CD81" s="201"/>
      <c r="CE81" s="201"/>
      <c r="CF81" s="201"/>
      <c r="CG81" s="201"/>
      <c r="CH81" s="201"/>
      <c r="CI81" s="201"/>
      <c r="CJ81" s="201"/>
      <c r="CK81" s="201"/>
      <c r="CL81" s="201"/>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1"/>
      <c r="DJ81" s="201"/>
      <c r="DK81" s="201"/>
      <c r="DL81" s="201"/>
      <c r="DM81" s="201"/>
      <c r="DN81" s="201"/>
      <c r="DO81" s="201"/>
      <c r="DP81" s="201"/>
      <c r="DQ81" s="201"/>
      <c r="DR81" s="201"/>
      <c r="DS81" s="201"/>
      <c r="DT81" s="201"/>
      <c r="DU81" s="201"/>
      <c r="DV81" s="201"/>
      <c r="DW81" s="201"/>
      <c r="DX81" s="201"/>
      <c r="DY81" s="201"/>
      <c r="DZ81" s="201"/>
      <c r="EA81" s="201"/>
      <c r="EB81" s="201"/>
      <c r="EC81" s="201"/>
      <c r="ED81" s="201"/>
      <c r="EE81" s="201"/>
      <c r="EF81" s="201"/>
      <c r="EG81" s="201"/>
      <c r="EH81" s="201"/>
      <c r="EI81" s="201"/>
      <c r="EJ81" s="201"/>
      <c r="EK81" s="201"/>
      <c r="EL81" s="201"/>
      <c r="EM81" s="201"/>
      <c r="EN81" s="201"/>
      <c r="EO81" s="201"/>
      <c r="EP81" s="201"/>
      <c r="EQ81" s="201"/>
      <c r="ER81" s="201"/>
      <c r="ES81" s="201"/>
    </row>
    <row r="82" spans="17:149" s="146" customFormat="1">
      <c r="Q82" s="145"/>
      <c r="R82" s="145"/>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c r="DS82" s="201"/>
      <c r="DT82" s="201"/>
      <c r="DU82" s="201"/>
      <c r="DV82" s="201"/>
      <c r="DW82" s="201"/>
      <c r="DX82" s="201"/>
      <c r="DY82" s="201"/>
      <c r="DZ82" s="201"/>
      <c r="EA82" s="201"/>
      <c r="EB82" s="201"/>
      <c r="EC82" s="201"/>
      <c r="ED82" s="201"/>
      <c r="EE82" s="201"/>
      <c r="EF82" s="201"/>
      <c r="EG82" s="201"/>
      <c r="EH82" s="201"/>
      <c r="EI82" s="201"/>
      <c r="EJ82" s="201"/>
      <c r="EK82" s="201"/>
      <c r="EL82" s="201"/>
      <c r="EM82" s="201"/>
      <c r="EN82" s="201"/>
      <c r="EO82" s="201"/>
      <c r="EP82" s="201"/>
      <c r="EQ82" s="201"/>
      <c r="ER82" s="201"/>
      <c r="ES82" s="201"/>
    </row>
    <row r="83" spans="17:149" s="146" customFormat="1">
      <c r="Q83" s="145"/>
      <c r="R83" s="145"/>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c r="DS83" s="201"/>
      <c r="DT83" s="201"/>
      <c r="DU83" s="201"/>
      <c r="DV83" s="201"/>
      <c r="DW83" s="201"/>
      <c r="DX83" s="201"/>
      <c r="DY83" s="201"/>
      <c r="DZ83" s="201"/>
      <c r="EA83" s="201"/>
      <c r="EB83" s="201"/>
      <c r="EC83" s="201"/>
      <c r="ED83" s="201"/>
      <c r="EE83" s="201"/>
      <c r="EF83" s="201"/>
      <c r="EG83" s="201"/>
      <c r="EH83" s="201"/>
      <c r="EI83" s="201"/>
      <c r="EJ83" s="201"/>
      <c r="EK83" s="201"/>
      <c r="EL83" s="201"/>
      <c r="EM83" s="201"/>
      <c r="EN83" s="201"/>
      <c r="EO83" s="201"/>
      <c r="EP83" s="201"/>
      <c r="EQ83" s="201"/>
      <c r="ER83" s="201"/>
      <c r="ES83" s="201"/>
    </row>
    <row r="84" spans="17:149" s="146" customFormat="1">
      <c r="Q84" s="145"/>
      <c r="R84" s="145"/>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c r="CD84" s="201"/>
      <c r="CE84" s="201"/>
      <c r="CF84" s="201"/>
      <c r="CG84" s="201"/>
      <c r="CH84" s="201"/>
      <c r="CI84" s="201"/>
      <c r="CJ84" s="201"/>
      <c r="CK84" s="201"/>
      <c r="CL84" s="201"/>
      <c r="CM84" s="201"/>
      <c r="CN84" s="201"/>
      <c r="CO84" s="201"/>
      <c r="CP84" s="201"/>
      <c r="CQ84" s="201"/>
      <c r="CR84" s="201"/>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c r="EO84" s="201"/>
      <c r="EP84" s="201"/>
      <c r="EQ84" s="201"/>
      <c r="ER84" s="201"/>
      <c r="ES84" s="201"/>
    </row>
    <row r="85" spans="17:149" s="146" customFormat="1">
      <c r="Q85" s="145"/>
      <c r="R85" s="145"/>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c r="CD85" s="201"/>
      <c r="CE85" s="201"/>
      <c r="CF85" s="201"/>
      <c r="CG85" s="201"/>
      <c r="CH85" s="201"/>
      <c r="CI85" s="201"/>
      <c r="CJ85" s="201"/>
      <c r="CK85" s="201"/>
      <c r="CL85" s="201"/>
      <c r="CM85" s="201"/>
      <c r="CN85" s="201"/>
      <c r="CO85" s="201"/>
      <c r="CP85" s="201"/>
      <c r="CQ85" s="201"/>
      <c r="CR85" s="201"/>
      <c r="CS85" s="201"/>
      <c r="CT85" s="201"/>
      <c r="CU85" s="201"/>
      <c r="CV85" s="201"/>
      <c r="CW85" s="201"/>
      <c r="CX85" s="201"/>
      <c r="CY85" s="201"/>
      <c r="CZ85" s="201"/>
      <c r="DA85" s="201"/>
      <c r="DB85" s="201"/>
      <c r="DC85" s="201"/>
      <c r="DD85" s="201"/>
      <c r="DE85" s="201"/>
      <c r="DF85" s="201"/>
      <c r="DG85" s="201"/>
      <c r="DH85" s="201"/>
      <c r="DI85" s="201"/>
      <c r="DJ85" s="201"/>
      <c r="DK85" s="201"/>
      <c r="DL85" s="201"/>
      <c r="DM85" s="201"/>
      <c r="DN85" s="201"/>
      <c r="DO85" s="201"/>
      <c r="DP85" s="201"/>
      <c r="DQ85" s="201"/>
      <c r="DR85" s="201"/>
      <c r="DS85" s="201"/>
      <c r="DT85" s="201"/>
      <c r="DU85" s="201"/>
      <c r="DV85" s="201"/>
      <c r="DW85" s="201"/>
      <c r="DX85" s="201"/>
      <c r="DY85" s="201"/>
      <c r="DZ85" s="201"/>
      <c r="EA85" s="201"/>
      <c r="EB85" s="201"/>
      <c r="EC85" s="201"/>
      <c r="ED85" s="201"/>
      <c r="EE85" s="201"/>
      <c r="EF85" s="201"/>
      <c r="EG85" s="201"/>
      <c r="EH85" s="201"/>
      <c r="EI85" s="201"/>
      <c r="EJ85" s="201"/>
      <c r="EK85" s="201"/>
      <c r="EL85" s="201"/>
      <c r="EM85" s="201"/>
      <c r="EN85" s="201"/>
      <c r="EO85" s="201"/>
      <c r="EP85" s="201"/>
      <c r="EQ85" s="201"/>
      <c r="ER85" s="201"/>
      <c r="ES85" s="201"/>
    </row>
    <row r="86" spans="17:149" s="146" customFormat="1">
      <c r="Q86" s="145"/>
      <c r="R86" s="145"/>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1"/>
      <c r="DL86" s="201"/>
      <c r="DM86" s="201"/>
      <c r="DN86" s="201"/>
      <c r="DO86" s="201"/>
      <c r="DP86" s="201"/>
      <c r="DQ86" s="201"/>
      <c r="DR86" s="201"/>
      <c r="DS86" s="201"/>
      <c r="DT86" s="201"/>
      <c r="DU86" s="201"/>
      <c r="DV86" s="201"/>
      <c r="DW86" s="201"/>
      <c r="DX86" s="201"/>
      <c r="DY86" s="201"/>
      <c r="DZ86" s="201"/>
      <c r="EA86" s="201"/>
      <c r="EB86" s="201"/>
      <c r="EC86" s="201"/>
      <c r="ED86" s="201"/>
      <c r="EE86" s="201"/>
      <c r="EF86" s="201"/>
      <c r="EG86" s="201"/>
      <c r="EH86" s="201"/>
      <c r="EI86" s="201"/>
      <c r="EJ86" s="201"/>
      <c r="EK86" s="201"/>
      <c r="EL86" s="201"/>
      <c r="EM86" s="201"/>
      <c r="EN86" s="201"/>
      <c r="EO86" s="201"/>
      <c r="EP86" s="201"/>
      <c r="EQ86" s="201"/>
      <c r="ER86" s="201"/>
      <c r="ES86" s="201"/>
    </row>
    <row r="87" spans="17:149" s="146" customFormat="1">
      <c r="Q87" s="145"/>
      <c r="R87" s="145"/>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1"/>
      <c r="DJ87" s="201"/>
      <c r="DK87" s="201"/>
      <c r="DL87" s="201"/>
      <c r="DM87" s="201"/>
      <c r="DN87" s="201"/>
      <c r="DO87" s="201"/>
      <c r="DP87" s="201"/>
      <c r="DQ87" s="201"/>
      <c r="DR87" s="201"/>
      <c r="DS87" s="201"/>
      <c r="DT87" s="201"/>
      <c r="DU87" s="201"/>
      <c r="DV87" s="201"/>
      <c r="DW87" s="201"/>
      <c r="DX87" s="201"/>
      <c r="DY87" s="201"/>
      <c r="DZ87" s="201"/>
      <c r="EA87" s="201"/>
      <c r="EB87" s="201"/>
      <c r="EC87" s="201"/>
      <c r="ED87" s="201"/>
      <c r="EE87" s="201"/>
      <c r="EF87" s="201"/>
      <c r="EG87" s="201"/>
      <c r="EH87" s="201"/>
      <c r="EI87" s="201"/>
      <c r="EJ87" s="201"/>
      <c r="EK87" s="201"/>
      <c r="EL87" s="201"/>
      <c r="EM87" s="201"/>
      <c r="EN87" s="201"/>
      <c r="EO87" s="201"/>
      <c r="EP87" s="201"/>
      <c r="EQ87" s="201"/>
      <c r="ER87" s="201"/>
      <c r="ES87" s="201"/>
    </row>
    <row r="88" spans="17:149" s="146" customFormat="1">
      <c r="Q88" s="145"/>
      <c r="R88" s="145"/>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201"/>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1"/>
      <c r="DD88" s="201"/>
      <c r="DE88" s="201"/>
      <c r="DF88" s="201"/>
      <c r="DG88" s="201"/>
      <c r="DH88" s="201"/>
      <c r="DI88" s="201"/>
      <c r="DJ88" s="201"/>
      <c r="DK88" s="201"/>
      <c r="DL88" s="201"/>
      <c r="DM88" s="201"/>
      <c r="DN88" s="201"/>
      <c r="DO88" s="201"/>
      <c r="DP88" s="201"/>
      <c r="DQ88" s="201"/>
      <c r="DR88" s="201"/>
      <c r="DS88" s="201"/>
      <c r="DT88" s="201"/>
      <c r="DU88" s="201"/>
      <c r="DV88" s="201"/>
      <c r="DW88" s="201"/>
      <c r="DX88" s="201"/>
      <c r="DY88" s="201"/>
      <c r="DZ88" s="201"/>
      <c r="EA88" s="201"/>
      <c r="EB88" s="201"/>
      <c r="EC88" s="201"/>
      <c r="ED88" s="201"/>
      <c r="EE88" s="201"/>
      <c r="EF88" s="201"/>
      <c r="EG88" s="201"/>
      <c r="EH88" s="201"/>
      <c r="EI88" s="201"/>
      <c r="EJ88" s="201"/>
      <c r="EK88" s="201"/>
      <c r="EL88" s="201"/>
      <c r="EM88" s="201"/>
      <c r="EN88" s="201"/>
      <c r="EO88" s="201"/>
      <c r="EP88" s="201"/>
      <c r="EQ88" s="201"/>
      <c r="ER88" s="201"/>
      <c r="ES88" s="201"/>
    </row>
    <row r="89" spans="17:149" s="146" customFormat="1">
      <c r="Q89" s="145"/>
      <c r="R89" s="145"/>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1"/>
      <c r="BZ89" s="201"/>
      <c r="CA89" s="201"/>
      <c r="CB89" s="201"/>
      <c r="CC89" s="201"/>
      <c r="CD89" s="201"/>
      <c r="CE89" s="201"/>
      <c r="CF89" s="201"/>
      <c r="CG89" s="201"/>
      <c r="CH89" s="201"/>
      <c r="CI89" s="201"/>
      <c r="CJ89" s="201"/>
      <c r="CK89" s="201"/>
      <c r="CL89" s="201"/>
      <c r="CM89" s="201"/>
      <c r="CN89" s="201"/>
      <c r="CO89" s="201"/>
      <c r="CP89" s="201"/>
      <c r="CQ89" s="201"/>
      <c r="CR89" s="201"/>
      <c r="CS89" s="201"/>
      <c r="CT89" s="201"/>
      <c r="CU89" s="201"/>
      <c r="CV89" s="201"/>
      <c r="CW89" s="201"/>
      <c r="CX89" s="201"/>
      <c r="CY89" s="201"/>
      <c r="CZ89" s="201"/>
      <c r="DA89" s="201"/>
      <c r="DB89" s="201"/>
      <c r="DC89" s="201"/>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1"/>
      <c r="EE89" s="201"/>
      <c r="EF89" s="201"/>
      <c r="EG89" s="201"/>
      <c r="EH89" s="201"/>
      <c r="EI89" s="201"/>
      <c r="EJ89" s="201"/>
      <c r="EK89" s="201"/>
      <c r="EL89" s="201"/>
      <c r="EM89" s="201"/>
      <c r="EN89" s="201"/>
      <c r="EO89" s="201"/>
      <c r="EP89" s="201"/>
      <c r="EQ89" s="201"/>
      <c r="ER89" s="201"/>
      <c r="ES89" s="201"/>
    </row>
    <row r="90" spans="17:149" s="146" customFormat="1">
      <c r="Q90" s="145"/>
      <c r="R90" s="145"/>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c r="CF90" s="201"/>
      <c r="CG90" s="201"/>
      <c r="CH90" s="201"/>
      <c r="CI90" s="201"/>
      <c r="CJ90" s="201"/>
      <c r="CK90" s="201"/>
      <c r="CL90" s="201"/>
      <c r="CM90" s="201"/>
      <c r="CN90" s="201"/>
      <c r="CO90" s="201"/>
      <c r="CP90" s="201"/>
      <c r="CQ90" s="201"/>
      <c r="CR90" s="201"/>
      <c r="CS90" s="201"/>
      <c r="CT90" s="201"/>
      <c r="CU90" s="201"/>
      <c r="CV90" s="201"/>
      <c r="CW90" s="201"/>
      <c r="CX90" s="201"/>
      <c r="CY90" s="201"/>
      <c r="CZ90" s="201"/>
      <c r="DA90" s="201"/>
      <c r="DB90" s="201"/>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1"/>
      <c r="EE90" s="201"/>
      <c r="EF90" s="201"/>
      <c r="EG90" s="201"/>
      <c r="EH90" s="201"/>
      <c r="EI90" s="201"/>
      <c r="EJ90" s="201"/>
      <c r="EK90" s="201"/>
      <c r="EL90" s="201"/>
      <c r="EM90" s="201"/>
      <c r="EN90" s="201"/>
      <c r="EO90" s="201"/>
      <c r="EP90" s="201"/>
      <c r="EQ90" s="201"/>
      <c r="ER90" s="201"/>
      <c r="ES90" s="201"/>
    </row>
    <row r="91" spans="17:149" s="146" customFormat="1">
      <c r="Q91" s="145"/>
      <c r="R91" s="145"/>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c r="CF91" s="201"/>
      <c r="CG91" s="201"/>
      <c r="CH91" s="201"/>
      <c r="CI91" s="201"/>
      <c r="CJ91" s="201"/>
      <c r="CK91" s="201"/>
      <c r="CL91" s="201"/>
      <c r="CM91" s="201"/>
      <c r="CN91" s="201"/>
      <c r="CO91" s="201"/>
      <c r="CP91" s="201"/>
      <c r="CQ91" s="201"/>
      <c r="CR91" s="201"/>
      <c r="CS91" s="201"/>
      <c r="CT91" s="201"/>
      <c r="CU91" s="201"/>
      <c r="CV91" s="201"/>
      <c r="CW91" s="201"/>
      <c r="CX91" s="201"/>
      <c r="CY91" s="201"/>
      <c r="CZ91" s="201"/>
      <c r="DA91" s="201"/>
      <c r="DB91" s="201"/>
      <c r="DC91" s="201"/>
      <c r="DD91" s="201"/>
      <c r="DE91" s="201"/>
      <c r="DF91" s="201"/>
      <c r="DG91" s="201"/>
      <c r="DH91" s="201"/>
      <c r="DI91" s="201"/>
      <c r="DJ91" s="201"/>
      <c r="DK91" s="201"/>
      <c r="DL91" s="201"/>
      <c r="DM91" s="201"/>
      <c r="DN91" s="201"/>
      <c r="DO91" s="201"/>
      <c r="DP91" s="201"/>
      <c r="DQ91" s="201"/>
      <c r="DR91" s="201"/>
      <c r="DS91" s="201"/>
      <c r="DT91" s="201"/>
      <c r="DU91" s="201"/>
      <c r="DV91" s="201"/>
      <c r="DW91" s="201"/>
      <c r="DX91" s="201"/>
      <c r="DY91" s="201"/>
      <c r="DZ91" s="201"/>
      <c r="EA91" s="201"/>
      <c r="EB91" s="201"/>
      <c r="EC91" s="201"/>
      <c r="ED91" s="201"/>
      <c r="EE91" s="201"/>
      <c r="EF91" s="201"/>
      <c r="EG91" s="201"/>
      <c r="EH91" s="201"/>
      <c r="EI91" s="201"/>
      <c r="EJ91" s="201"/>
      <c r="EK91" s="201"/>
      <c r="EL91" s="201"/>
      <c r="EM91" s="201"/>
      <c r="EN91" s="201"/>
      <c r="EO91" s="201"/>
      <c r="EP91" s="201"/>
      <c r="EQ91" s="201"/>
      <c r="ER91" s="201"/>
      <c r="ES91" s="201"/>
    </row>
    <row r="92" spans="17:149" s="146" customFormat="1">
      <c r="Q92" s="145"/>
      <c r="R92" s="145"/>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1"/>
      <c r="DJ92" s="201"/>
      <c r="DK92" s="201"/>
      <c r="DL92" s="201"/>
      <c r="DM92" s="201"/>
      <c r="DN92" s="201"/>
      <c r="DO92" s="201"/>
      <c r="DP92" s="201"/>
      <c r="DQ92" s="201"/>
      <c r="DR92" s="201"/>
      <c r="DS92" s="201"/>
      <c r="DT92" s="201"/>
      <c r="DU92" s="201"/>
      <c r="DV92" s="201"/>
      <c r="DW92" s="201"/>
      <c r="DX92" s="201"/>
      <c r="DY92" s="201"/>
      <c r="DZ92" s="201"/>
      <c r="EA92" s="201"/>
      <c r="EB92" s="201"/>
      <c r="EC92" s="201"/>
      <c r="ED92" s="201"/>
      <c r="EE92" s="201"/>
      <c r="EF92" s="201"/>
      <c r="EG92" s="201"/>
      <c r="EH92" s="201"/>
      <c r="EI92" s="201"/>
      <c r="EJ92" s="201"/>
      <c r="EK92" s="201"/>
      <c r="EL92" s="201"/>
      <c r="EM92" s="201"/>
      <c r="EN92" s="201"/>
      <c r="EO92" s="201"/>
      <c r="EP92" s="201"/>
      <c r="EQ92" s="201"/>
      <c r="ER92" s="201"/>
      <c r="ES92" s="201"/>
    </row>
    <row r="93" spans="17:149" s="146" customFormat="1">
      <c r="Q93" s="145"/>
      <c r="R93" s="145"/>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c r="CF93" s="201"/>
      <c r="CG93" s="201"/>
      <c r="CH93" s="201"/>
      <c r="CI93" s="201"/>
      <c r="CJ93" s="201"/>
      <c r="CK93" s="201"/>
      <c r="CL93" s="201"/>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1"/>
      <c r="DJ93" s="201"/>
      <c r="DK93" s="201"/>
      <c r="DL93" s="201"/>
      <c r="DM93" s="201"/>
      <c r="DN93" s="201"/>
      <c r="DO93" s="201"/>
      <c r="DP93" s="201"/>
      <c r="DQ93" s="201"/>
      <c r="DR93" s="201"/>
      <c r="DS93" s="201"/>
      <c r="DT93" s="201"/>
      <c r="DU93" s="201"/>
      <c r="DV93" s="201"/>
      <c r="DW93" s="201"/>
      <c r="DX93" s="201"/>
      <c r="DY93" s="201"/>
      <c r="DZ93" s="201"/>
      <c r="EA93" s="201"/>
      <c r="EB93" s="201"/>
      <c r="EC93" s="201"/>
      <c r="ED93" s="201"/>
      <c r="EE93" s="201"/>
      <c r="EF93" s="201"/>
      <c r="EG93" s="201"/>
      <c r="EH93" s="201"/>
      <c r="EI93" s="201"/>
      <c r="EJ93" s="201"/>
      <c r="EK93" s="201"/>
      <c r="EL93" s="201"/>
      <c r="EM93" s="201"/>
      <c r="EN93" s="201"/>
      <c r="EO93" s="201"/>
      <c r="EP93" s="201"/>
      <c r="EQ93" s="201"/>
      <c r="ER93" s="201"/>
      <c r="ES93" s="201"/>
    </row>
    <row r="94" spans="17:149" s="146" customFormat="1">
      <c r="Q94" s="145"/>
      <c r="R94" s="145"/>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201"/>
      <c r="BY94" s="201"/>
      <c r="BZ94" s="201"/>
      <c r="CA94" s="201"/>
      <c r="CB94" s="201"/>
      <c r="CC94" s="201"/>
      <c r="CD94" s="201"/>
      <c r="CE94" s="201"/>
      <c r="CF94" s="201"/>
      <c r="CG94" s="201"/>
      <c r="CH94" s="201"/>
      <c r="CI94" s="201"/>
      <c r="CJ94" s="201"/>
      <c r="CK94" s="201"/>
      <c r="CL94" s="201"/>
      <c r="CM94" s="201"/>
      <c r="CN94" s="201"/>
      <c r="CO94" s="201"/>
      <c r="CP94" s="201"/>
      <c r="CQ94" s="201"/>
      <c r="CR94" s="201"/>
      <c r="CS94" s="201"/>
      <c r="CT94" s="201"/>
      <c r="CU94" s="201"/>
      <c r="CV94" s="201"/>
      <c r="CW94" s="201"/>
      <c r="CX94" s="201"/>
      <c r="CY94" s="201"/>
      <c r="CZ94" s="201"/>
      <c r="DA94" s="201"/>
      <c r="DB94" s="201"/>
      <c r="DC94" s="201"/>
      <c r="DD94" s="201"/>
      <c r="DE94" s="201"/>
      <c r="DF94" s="201"/>
      <c r="DG94" s="201"/>
      <c r="DH94" s="201"/>
      <c r="DI94" s="201"/>
      <c r="DJ94" s="201"/>
      <c r="DK94" s="201"/>
      <c r="DL94" s="201"/>
      <c r="DM94" s="201"/>
      <c r="DN94" s="201"/>
      <c r="DO94" s="201"/>
      <c r="DP94" s="201"/>
      <c r="DQ94" s="201"/>
      <c r="DR94" s="201"/>
      <c r="DS94" s="201"/>
      <c r="DT94" s="201"/>
      <c r="DU94" s="201"/>
      <c r="DV94" s="201"/>
      <c r="DW94" s="201"/>
      <c r="DX94" s="201"/>
      <c r="DY94" s="201"/>
      <c r="DZ94" s="201"/>
      <c r="EA94" s="201"/>
      <c r="EB94" s="201"/>
      <c r="EC94" s="201"/>
      <c r="ED94" s="201"/>
      <c r="EE94" s="201"/>
      <c r="EF94" s="201"/>
      <c r="EG94" s="201"/>
      <c r="EH94" s="201"/>
      <c r="EI94" s="201"/>
      <c r="EJ94" s="201"/>
      <c r="EK94" s="201"/>
      <c r="EL94" s="201"/>
      <c r="EM94" s="201"/>
      <c r="EN94" s="201"/>
      <c r="EO94" s="201"/>
      <c r="EP94" s="201"/>
      <c r="EQ94" s="201"/>
      <c r="ER94" s="201"/>
      <c r="ES94" s="201"/>
    </row>
    <row r="95" spans="17:149" s="146" customFormat="1">
      <c r="Q95" s="145"/>
      <c r="R95" s="145"/>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c r="BY95" s="201"/>
      <c r="BZ95" s="201"/>
      <c r="CA95" s="201"/>
      <c r="CB95" s="201"/>
      <c r="CC95" s="201"/>
      <c r="CD95" s="201"/>
      <c r="CE95" s="201"/>
      <c r="CF95" s="201"/>
      <c r="CG95" s="201"/>
      <c r="CH95" s="201"/>
      <c r="CI95" s="201"/>
      <c r="CJ95" s="201"/>
      <c r="CK95" s="201"/>
      <c r="CL95" s="201"/>
      <c r="CM95" s="201"/>
      <c r="CN95" s="201"/>
      <c r="CO95" s="201"/>
      <c r="CP95" s="201"/>
      <c r="CQ95" s="201"/>
      <c r="CR95" s="201"/>
      <c r="CS95" s="201"/>
      <c r="CT95" s="201"/>
      <c r="CU95" s="201"/>
      <c r="CV95" s="201"/>
      <c r="CW95" s="201"/>
      <c r="CX95" s="201"/>
      <c r="CY95" s="201"/>
      <c r="CZ95" s="201"/>
      <c r="DA95" s="201"/>
      <c r="DB95" s="201"/>
      <c r="DC95" s="201"/>
      <c r="DD95" s="201"/>
      <c r="DE95" s="201"/>
      <c r="DF95" s="201"/>
      <c r="DG95" s="201"/>
      <c r="DH95" s="201"/>
      <c r="DI95" s="201"/>
      <c r="DJ95" s="201"/>
      <c r="DK95" s="201"/>
      <c r="DL95" s="201"/>
      <c r="DM95" s="201"/>
      <c r="DN95" s="201"/>
      <c r="DO95" s="201"/>
      <c r="DP95" s="201"/>
      <c r="DQ95" s="201"/>
      <c r="DR95" s="201"/>
      <c r="DS95" s="201"/>
      <c r="DT95" s="201"/>
      <c r="DU95" s="201"/>
      <c r="DV95" s="201"/>
      <c r="DW95" s="201"/>
      <c r="DX95" s="201"/>
      <c r="DY95" s="201"/>
      <c r="DZ95" s="201"/>
      <c r="EA95" s="201"/>
      <c r="EB95" s="201"/>
      <c r="EC95" s="201"/>
      <c r="ED95" s="201"/>
      <c r="EE95" s="201"/>
      <c r="EF95" s="201"/>
      <c r="EG95" s="201"/>
      <c r="EH95" s="201"/>
      <c r="EI95" s="201"/>
      <c r="EJ95" s="201"/>
      <c r="EK95" s="201"/>
      <c r="EL95" s="201"/>
      <c r="EM95" s="201"/>
      <c r="EN95" s="201"/>
      <c r="EO95" s="201"/>
      <c r="EP95" s="201"/>
      <c r="EQ95" s="201"/>
      <c r="ER95" s="201"/>
      <c r="ES95" s="201"/>
    </row>
    <row r="96" spans="17:149" s="146" customFormat="1">
      <c r="Q96" s="145"/>
      <c r="R96" s="145"/>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201"/>
      <c r="BY96" s="201"/>
      <c r="BZ96" s="201"/>
      <c r="CA96" s="201"/>
      <c r="CB96" s="201"/>
      <c r="CC96" s="201"/>
      <c r="CD96" s="201"/>
      <c r="CE96" s="201"/>
      <c r="CF96" s="201"/>
      <c r="CG96" s="201"/>
      <c r="CH96" s="201"/>
      <c r="CI96" s="201"/>
      <c r="CJ96" s="201"/>
      <c r="CK96" s="201"/>
      <c r="CL96" s="201"/>
      <c r="CM96" s="201"/>
      <c r="CN96" s="201"/>
      <c r="CO96" s="201"/>
      <c r="CP96" s="201"/>
      <c r="CQ96" s="201"/>
      <c r="CR96" s="201"/>
      <c r="CS96" s="201"/>
      <c r="CT96" s="201"/>
      <c r="CU96" s="201"/>
      <c r="CV96" s="201"/>
      <c r="CW96" s="201"/>
      <c r="CX96" s="201"/>
      <c r="CY96" s="201"/>
      <c r="CZ96" s="201"/>
      <c r="DA96" s="201"/>
      <c r="DB96" s="201"/>
      <c r="DC96" s="201"/>
      <c r="DD96" s="201"/>
      <c r="DE96" s="201"/>
      <c r="DF96" s="201"/>
      <c r="DG96" s="201"/>
      <c r="DH96" s="201"/>
      <c r="DI96" s="201"/>
      <c r="DJ96" s="201"/>
      <c r="DK96" s="201"/>
      <c r="DL96" s="201"/>
      <c r="DM96" s="201"/>
      <c r="DN96" s="201"/>
      <c r="DO96" s="201"/>
      <c r="DP96" s="201"/>
      <c r="DQ96" s="201"/>
      <c r="DR96" s="201"/>
      <c r="DS96" s="201"/>
      <c r="DT96" s="201"/>
      <c r="DU96" s="201"/>
      <c r="DV96" s="201"/>
      <c r="DW96" s="201"/>
      <c r="DX96" s="201"/>
      <c r="DY96" s="201"/>
      <c r="DZ96" s="201"/>
      <c r="EA96" s="201"/>
      <c r="EB96" s="201"/>
      <c r="EC96" s="201"/>
      <c r="ED96" s="201"/>
      <c r="EE96" s="201"/>
      <c r="EF96" s="201"/>
      <c r="EG96" s="201"/>
      <c r="EH96" s="201"/>
      <c r="EI96" s="201"/>
      <c r="EJ96" s="201"/>
      <c r="EK96" s="201"/>
      <c r="EL96" s="201"/>
      <c r="EM96" s="201"/>
      <c r="EN96" s="201"/>
      <c r="EO96" s="201"/>
      <c r="EP96" s="201"/>
      <c r="EQ96" s="201"/>
      <c r="ER96" s="201"/>
      <c r="ES96" s="201"/>
    </row>
    <row r="97" spans="17:149" s="146" customFormat="1">
      <c r="Q97" s="145"/>
      <c r="R97" s="145"/>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1"/>
      <c r="BX97" s="201"/>
      <c r="BY97" s="201"/>
      <c r="BZ97" s="201"/>
      <c r="CA97" s="201"/>
      <c r="CB97" s="201"/>
      <c r="CC97" s="201"/>
      <c r="CD97" s="201"/>
      <c r="CE97" s="201"/>
      <c r="CF97" s="201"/>
      <c r="CG97" s="201"/>
      <c r="CH97" s="201"/>
      <c r="CI97" s="201"/>
      <c r="CJ97" s="201"/>
      <c r="CK97" s="201"/>
      <c r="CL97" s="201"/>
      <c r="CM97" s="201"/>
      <c r="CN97" s="201"/>
      <c r="CO97" s="201"/>
      <c r="CP97" s="201"/>
      <c r="CQ97" s="201"/>
      <c r="CR97" s="201"/>
      <c r="CS97" s="201"/>
      <c r="CT97" s="201"/>
      <c r="CU97" s="201"/>
      <c r="CV97" s="201"/>
      <c r="CW97" s="201"/>
      <c r="CX97" s="201"/>
      <c r="CY97" s="201"/>
      <c r="CZ97" s="201"/>
      <c r="DA97" s="201"/>
      <c r="DB97" s="201"/>
      <c r="DC97" s="201"/>
      <c r="DD97" s="201"/>
      <c r="DE97" s="201"/>
      <c r="DF97" s="201"/>
      <c r="DG97" s="201"/>
      <c r="DH97" s="201"/>
      <c r="DI97" s="201"/>
      <c r="DJ97" s="201"/>
      <c r="DK97" s="201"/>
      <c r="DL97" s="201"/>
      <c r="DM97" s="201"/>
      <c r="DN97" s="201"/>
      <c r="DO97" s="201"/>
      <c r="DP97" s="201"/>
      <c r="DQ97" s="201"/>
      <c r="DR97" s="201"/>
      <c r="DS97" s="201"/>
      <c r="DT97" s="201"/>
      <c r="DU97" s="201"/>
      <c r="DV97" s="201"/>
      <c r="DW97" s="201"/>
      <c r="DX97" s="201"/>
      <c r="DY97" s="201"/>
      <c r="DZ97" s="201"/>
      <c r="EA97" s="201"/>
      <c r="EB97" s="201"/>
      <c r="EC97" s="201"/>
      <c r="ED97" s="201"/>
      <c r="EE97" s="201"/>
      <c r="EF97" s="201"/>
      <c r="EG97" s="201"/>
      <c r="EH97" s="201"/>
      <c r="EI97" s="201"/>
      <c r="EJ97" s="201"/>
      <c r="EK97" s="201"/>
      <c r="EL97" s="201"/>
      <c r="EM97" s="201"/>
      <c r="EN97" s="201"/>
      <c r="EO97" s="201"/>
      <c r="EP97" s="201"/>
      <c r="EQ97" s="201"/>
      <c r="ER97" s="201"/>
      <c r="ES97" s="201"/>
    </row>
    <row r="98" spans="17:149" s="146" customFormat="1">
      <c r="Q98" s="145"/>
      <c r="R98" s="145"/>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1"/>
      <c r="DA98" s="201"/>
      <c r="DB98" s="201"/>
      <c r="DC98" s="201"/>
      <c r="DD98" s="201"/>
      <c r="DE98" s="201"/>
      <c r="DF98" s="201"/>
      <c r="DG98" s="201"/>
      <c r="DH98" s="201"/>
      <c r="DI98" s="201"/>
      <c r="DJ98" s="201"/>
      <c r="DK98" s="201"/>
      <c r="DL98" s="201"/>
      <c r="DM98" s="201"/>
      <c r="DN98" s="201"/>
      <c r="DO98" s="201"/>
      <c r="DP98" s="201"/>
      <c r="DQ98" s="201"/>
      <c r="DR98" s="201"/>
      <c r="DS98" s="201"/>
      <c r="DT98" s="201"/>
      <c r="DU98" s="201"/>
      <c r="DV98" s="201"/>
      <c r="DW98" s="201"/>
      <c r="DX98" s="201"/>
      <c r="DY98" s="201"/>
      <c r="DZ98" s="201"/>
      <c r="EA98" s="201"/>
      <c r="EB98" s="201"/>
      <c r="EC98" s="201"/>
      <c r="ED98" s="201"/>
      <c r="EE98" s="201"/>
      <c r="EF98" s="201"/>
      <c r="EG98" s="201"/>
      <c r="EH98" s="201"/>
      <c r="EI98" s="201"/>
      <c r="EJ98" s="201"/>
      <c r="EK98" s="201"/>
      <c r="EL98" s="201"/>
      <c r="EM98" s="201"/>
      <c r="EN98" s="201"/>
      <c r="EO98" s="201"/>
      <c r="EP98" s="201"/>
      <c r="EQ98" s="201"/>
      <c r="ER98" s="201"/>
      <c r="ES98" s="201"/>
    </row>
    <row r="99" spans="17:149" s="146" customFormat="1">
      <c r="Q99" s="145"/>
      <c r="R99" s="145"/>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c r="BY99" s="201"/>
      <c r="BZ99" s="201"/>
      <c r="CA99" s="201"/>
      <c r="CB99" s="201"/>
      <c r="CC99" s="201"/>
      <c r="CD99" s="201"/>
      <c r="CE99" s="201"/>
      <c r="CF99" s="201"/>
      <c r="CG99" s="201"/>
      <c r="CH99" s="201"/>
      <c r="CI99" s="201"/>
      <c r="CJ99" s="201"/>
      <c r="CK99" s="201"/>
      <c r="CL99" s="201"/>
      <c r="CM99" s="201"/>
      <c r="CN99" s="201"/>
      <c r="CO99" s="201"/>
      <c r="CP99" s="201"/>
      <c r="CQ99" s="201"/>
      <c r="CR99" s="201"/>
      <c r="CS99" s="201"/>
      <c r="CT99" s="201"/>
      <c r="CU99" s="201"/>
      <c r="CV99" s="201"/>
      <c r="CW99" s="201"/>
      <c r="CX99" s="201"/>
      <c r="CY99" s="201"/>
      <c r="CZ99" s="201"/>
      <c r="DA99" s="201"/>
      <c r="DB99" s="201"/>
      <c r="DC99" s="201"/>
      <c r="DD99" s="201"/>
      <c r="DE99" s="201"/>
      <c r="DF99" s="201"/>
      <c r="DG99" s="201"/>
      <c r="DH99" s="201"/>
      <c r="DI99" s="201"/>
      <c r="DJ99" s="201"/>
      <c r="DK99" s="201"/>
      <c r="DL99" s="201"/>
      <c r="DM99" s="201"/>
      <c r="DN99" s="201"/>
      <c r="DO99" s="201"/>
      <c r="DP99" s="201"/>
      <c r="DQ99" s="201"/>
      <c r="DR99" s="201"/>
      <c r="DS99" s="201"/>
      <c r="DT99" s="201"/>
      <c r="DU99" s="201"/>
      <c r="DV99" s="201"/>
      <c r="DW99" s="201"/>
      <c r="DX99" s="201"/>
      <c r="DY99" s="201"/>
      <c r="DZ99" s="201"/>
      <c r="EA99" s="201"/>
      <c r="EB99" s="201"/>
      <c r="EC99" s="201"/>
      <c r="ED99" s="201"/>
      <c r="EE99" s="201"/>
      <c r="EF99" s="201"/>
      <c r="EG99" s="201"/>
      <c r="EH99" s="201"/>
      <c r="EI99" s="201"/>
      <c r="EJ99" s="201"/>
      <c r="EK99" s="201"/>
      <c r="EL99" s="201"/>
      <c r="EM99" s="201"/>
      <c r="EN99" s="201"/>
      <c r="EO99" s="201"/>
      <c r="EP99" s="201"/>
      <c r="EQ99" s="201"/>
      <c r="ER99" s="201"/>
      <c r="ES99" s="201"/>
    </row>
    <row r="100" spans="17:149" s="146" customFormat="1">
      <c r="Q100" s="145"/>
      <c r="R100" s="145"/>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c r="CE100" s="201"/>
      <c r="CF100" s="201"/>
      <c r="CG100" s="201"/>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201"/>
      <c r="EG100" s="201"/>
      <c r="EH100" s="201"/>
      <c r="EI100" s="201"/>
      <c r="EJ100" s="201"/>
      <c r="EK100" s="201"/>
      <c r="EL100" s="201"/>
      <c r="EM100" s="201"/>
      <c r="EN100" s="201"/>
      <c r="EO100" s="201"/>
      <c r="EP100" s="201"/>
      <c r="EQ100" s="201"/>
      <c r="ER100" s="201"/>
      <c r="ES100" s="201"/>
    </row>
    <row r="101" spans="17:149" s="146" customFormat="1">
      <c r="Q101" s="145"/>
      <c r="R101" s="145"/>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c r="BY101" s="201"/>
      <c r="BZ101" s="201"/>
      <c r="CA101" s="201"/>
      <c r="CB101" s="201"/>
      <c r="CC101" s="201"/>
      <c r="CD101" s="201"/>
      <c r="CE101" s="201"/>
      <c r="CF101" s="201"/>
      <c r="CG101" s="201"/>
      <c r="CH101" s="201"/>
      <c r="CI101" s="201"/>
      <c r="CJ101" s="201"/>
      <c r="CK101" s="201"/>
      <c r="CL101" s="201"/>
      <c r="CM101" s="201"/>
      <c r="CN101" s="201"/>
      <c r="CO101" s="201"/>
      <c r="CP101" s="201"/>
      <c r="CQ101" s="201"/>
      <c r="CR101" s="201"/>
      <c r="CS101" s="201"/>
      <c r="CT101" s="201"/>
      <c r="CU101" s="201"/>
      <c r="CV101" s="201"/>
      <c r="CW101" s="201"/>
      <c r="CX101" s="201"/>
      <c r="CY101" s="201"/>
      <c r="CZ101" s="201"/>
      <c r="DA101" s="201"/>
      <c r="DB101" s="201"/>
      <c r="DC101" s="201"/>
      <c r="DD101" s="201"/>
      <c r="DE101" s="201"/>
      <c r="DF101" s="201"/>
      <c r="DG101" s="201"/>
      <c r="DH101" s="201"/>
      <c r="DI101" s="201"/>
      <c r="DJ101" s="201"/>
      <c r="DK101" s="201"/>
      <c r="DL101" s="201"/>
      <c r="DM101" s="201"/>
      <c r="DN101" s="201"/>
      <c r="DO101" s="201"/>
      <c r="DP101" s="201"/>
      <c r="DQ101" s="201"/>
      <c r="DR101" s="201"/>
      <c r="DS101" s="201"/>
      <c r="DT101" s="201"/>
      <c r="DU101" s="201"/>
      <c r="DV101" s="201"/>
      <c r="DW101" s="201"/>
      <c r="DX101" s="201"/>
      <c r="DY101" s="201"/>
      <c r="DZ101" s="201"/>
      <c r="EA101" s="201"/>
      <c r="EB101" s="201"/>
      <c r="EC101" s="201"/>
      <c r="ED101" s="201"/>
      <c r="EE101" s="201"/>
      <c r="EF101" s="201"/>
      <c r="EG101" s="201"/>
      <c r="EH101" s="201"/>
      <c r="EI101" s="201"/>
      <c r="EJ101" s="201"/>
      <c r="EK101" s="201"/>
      <c r="EL101" s="201"/>
      <c r="EM101" s="201"/>
      <c r="EN101" s="201"/>
      <c r="EO101" s="201"/>
      <c r="EP101" s="201"/>
      <c r="EQ101" s="201"/>
      <c r="ER101" s="201"/>
      <c r="ES101" s="201"/>
    </row>
    <row r="102" spans="17:149" s="146" customFormat="1">
      <c r="Q102" s="145"/>
      <c r="R102" s="145"/>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1"/>
      <c r="BX102" s="201"/>
      <c r="BY102" s="201"/>
      <c r="BZ102" s="201"/>
      <c r="CA102" s="201"/>
      <c r="CB102" s="201"/>
      <c r="CC102" s="201"/>
      <c r="CD102" s="201"/>
      <c r="CE102" s="201"/>
      <c r="CF102" s="201"/>
      <c r="CG102" s="201"/>
      <c r="CH102" s="201"/>
      <c r="CI102" s="201"/>
      <c r="CJ102" s="201"/>
      <c r="CK102" s="201"/>
      <c r="CL102" s="201"/>
      <c r="CM102" s="201"/>
      <c r="CN102" s="201"/>
      <c r="CO102" s="201"/>
      <c r="CP102" s="201"/>
      <c r="CQ102" s="201"/>
      <c r="CR102" s="201"/>
      <c r="CS102" s="201"/>
      <c r="CT102" s="201"/>
      <c r="CU102" s="201"/>
      <c r="CV102" s="201"/>
      <c r="CW102" s="201"/>
      <c r="CX102" s="201"/>
      <c r="CY102" s="201"/>
      <c r="CZ102" s="201"/>
      <c r="DA102" s="201"/>
      <c r="DB102" s="201"/>
      <c r="DC102" s="201"/>
      <c r="DD102" s="201"/>
      <c r="DE102" s="201"/>
      <c r="DF102" s="201"/>
      <c r="DG102" s="201"/>
      <c r="DH102" s="201"/>
      <c r="DI102" s="201"/>
      <c r="DJ102" s="201"/>
      <c r="DK102" s="201"/>
      <c r="DL102" s="201"/>
      <c r="DM102" s="201"/>
      <c r="DN102" s="201"/>
      <c r="DO102" s="201"/>
      <c r="DP102" s="201"/>
      <c r="DQ102" s="201"/>
      <c r="DR102" s="201"/>
      <c r="DS102" s="201"/>
      <c r="DT102" s="201"/>
      <c r="DU102" s="201"/>
      <c r="DV102" s="201"/>
      <c r="DW102" s="201"/>
      <c r="DX102" s="201"/>
      <c r="DY102" s="201"/>
      <c r="DZ102" s="201"/>
      <c r="EA102" s="201"/>
      <c r="EB102" s="201"/>
      <c r="EC102" s="201"/>
      <c r="ED102" s="201"/>
      <c r="EE102" s="201"/>
      <c r="EF102" s="201"/>
      <c r="EG102" s="201"/>
      <c r="EH102" s="201"/>
      <c r="EI102" s="201"/>
      <c r="EJ102" s="201"/>
      <c r="EK102" s="201"/>
      <c r="EL102" s="201"/>
      <c r="EM102" s="201"/>
      <c r="EN102" s="201"/>
      <c r="EO102" s="201"/>
      <c r="EP102" s="201"/>
      <c r="EQ102" s="201"/>
      <c r="ER102" s="201"/>
      <c r="ES102" s="201"/>
    </row>
    <row r="103" spans="17:149" s="146" customFormat="1">
      <c r="Q103" s="145"/>
      <c r="R103" s="145"/>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1"/>
      <c r="BX103" s="201"/>
      <c r="BY103" s="201"/>
      <c r="BZ103" s="201"/>
      <c r="CA103" s="201"/>
      <c r="CB103" s="201"/>
      <c r="CC103" s="201"/>
      <c r="CD103" s="201"/>
      <c r="CE103" s="201"/>
      <c r="CF103" s="201"/>
      <c r="CG103" s="201"/>
      <c r="CH103" s="201"/>
      <c r="CI103" s="201"/>
      <c r="CJ103" s="201"/>
      <c r="CK103" s="201"/>
      <c r="CL103" s="201"/>
      <c r="CM103" s="201"/>
      <c r="CN103" s="201"/>
      <c r="CO103" s="201"/>
      <c r="CP103" s="201"/>
      <c r="CQ103" s="201"/>
      <c r="CR103" s="201"/>
      <c r="CS103" s="201"/>
      <c r="CT103" s="201"/>
      <c r="CU103" s="201"/>
      <c r="CV103" s="201"/>
      <c r="CW103" s="201"/>
      <c r="CX103" s="201"/>
      <c r="CY103" s="201"/>
      <c r="CZ103" s="201"/>
      <c r="DA103" s="201"/>
      <c r="DB103" s="201"/>
      <c r="DC103" s="201"/>
      <c r="DD103" s="201"/>
      <c r="DE103" s="201"/>
      <c r="DF103" s="201"/>
      <c r="DG103" s="201"/>
      <c r="DH103" s="201"/>
      <c r="DI103" s="201"/>
      <c r="DJ103" s="201"/>
      <c r="DK103" s="201"/>
      <c r="DL103" s="201"/>
      <c r="DM103" s="201"/>
      <c r="DN103" s="201"/>
      <c r="DO103" s="201"/>
      <c r="DP103" s="201"/>
      <c r="DQ103" s="201"/>
      <c r="DR103" s="201"/>
      <c r="DS103" s="201"/>
      <c r="DT103" s="201"/>
      <c r="DU103" s="201"/>
      <c r="DV103" s="201"/>
      <c r="DW103" s="201"/>
      <c r="DX103" s="201"/>
      <c r="DY103" s="201"/>
      <c r="DZ103" s="201"/>
      <c r="EA103" s="201"/>
      <c r="EB103" s="201"/>
      <c r="EC103" s="201"/>
      <c r="ED103" s="201"/>
      <c r="EE103" s="201"/>
      <c r="EF103" s="201"/>
      <c r="EG103" s="201"/>
      <c r="EH103" s="201"/>
      <c r="EI103" s="201"/>
      <c r="EJ103" s="201"/>
      <c r="EK103" s="201"/>
      <c r="EL103" s="201"/>
      <c r="EM103" s="201"/>
      <c r="EN103" s="201"/>
      <c r="EO103" s="201"/>
      <c r="EP103" s="201"/>
      <c r="EQ103" s="201"/>
      <c r="ER103" s="201"/>
      <c r="ES103" s="201"/>
    </row>
    <row r="104" spans="17:149" s="146" customFormat="1">
      <c r="Q104" s="145"/>
      <c r="R104" s="145"/>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1"/>
      <c r="BR104" s="201"/>
      <c r="BS104" s="201"/>
      <c r="BT104" s="201"/>
      <c r="BU104" s="201"/>
      <c r="BV104" s="201"/>
      <c r="BW104" s="201"/>
      <c r="BX104" s="201"/>
      <c r="BY104" s="201"/>
      <c r="BZ104" s="201"/>
      <c r="CA104" s="201"/>
      <c r="CB104" s="201"/>
      <c r="CC104" s="201"/>
      <c r="CD104" s="201"/>
      <c r="CE104" s="201"/>
      <c r="CF104" s="201"/>
      <c r="CG104" s="201"/>
      <c r="CH104" s="201"/>
      <c r="CI104" s="201"/>
      <c r="CJ104" s="201"/>
      <c r="CK104" s="201"/>
      <c r="CL104" s="201"/>
      <c r="CM104" s="201"/>
      <c r="CN104" s="201"/>
      <c r="CO104" s="201"/>
      <c r="CP104" s="201"/>
      <c r="CQ104" s="201"/>
      <c r="CR104" s="201"/>
      <c r="CS104" s="201"/>
      <c r="CT104" s="201"/>
      <c r="CU104" s="201"/>
      <c r="CV104" s="201"/>
      <c r="CW104" s="201"/>
      <c r="CX104" s="201"/>
      <c r="CY104" s="201"/>
      <c r="CZ104" s="201"/>
      <c r="DA104" s="201"/>
      <c r="DB104" s="201"/>
      <c r="DC104" s="201"/>
      <c r="DD104" s="201"/>
      <c r="DE104" s="201"/>
      <c r="DF104" s="201"/>
      <c r="DG104" s="201"/>
      <c r="DH104" s="201"/>
      <c r="DI104" s="201"/>
      <c r="DJ104" s="201"/>
      <c r="DK104" s="201"/>
      <c r="DL104" s="201"/>
      <c r="DM104" s="201"/>
      <c r="DN104" s="201"/>
      <c r="DO104" s="201"/>
      <c r="DP104" s="201"/>
      <c r="DQ104" s="201"/>
      <c r="DR104" s="201"/>
      <c r="DS104" s="201"/>
      <c r="DT104" s="201"/>
      <c r="DU104" s="201"/>
      <c r="DV104" s="201"/>
      <c r="DW104" s="201"/>
      <c r="DX104" s="201"/>
      <c r="DY104" s="201"/>
      <c r="DZ104" s="201"/>
      <c r="EA104" s="201"/>
      <c r="EB104" s="201"/>
      <c r="EC104" s="201"/>
      <c r="ED104" s="201"/>
      <c r="EE104" s="201"/>
      <c r="EF104" s="201"/>
      <c r="EG104" s="201"/>
      <c r="EH104" s="201"/>
      <c r="EI104" s="201"/>
      <c r="EJ104" s="201"/>
      <c r="EK104" s="201"/>
      <c r="EL104" s="201"/>
      <c r="EM104" s="201"/>
      <c r="EN104" s="201"/>
      <c r="EO104" s="201"/>
      <c r="EP104" s="201"/>
      <c r="EQ104" s="201"/>
      <c r="ER104" s="201"/>
      <c r="ES104" s="201"/>
    </row>
    <row r="105" spans="17:149" s="146" customFormat="1">
      <c r="Q105" s="145"/>
      <c r="R105" s="145"/>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1"/>
      <c r="BR105" s="201"/>
      <c r="BS105" s="201"/>
      <c r="BT105" s="201"/>
      <c r="BU105" s="201"/>
      <c r="BV105" s="201"/>
      <c r="BW105" s="201"/>
      <c r="BX105" s="201"/>
      <c r="BY105" s="201"/>
      <c r="BZ105" s="201"/>
      <c r="CA105" s="201"/>
      <c r="CB105" s="201"/>
      <c r="CC105" s="201"/>
      <c r="CD105" s="201"/>
      <c r="CE105" s="201"/>
      <c r="CF105" s="201"/>
      <c r="CG105" s="201"/>
      <c r="CH105" s="201"/>
      <c r="CI105" s="201"/>
      <c r="CJ105" s="201"/>
      <c r="CK105" s="201"/>
      <c r="CL105" s="201"/>
      <c r="CM105" s="201"/>
      <c r="CN105" s="201"/>
      <c r="CO105" s="201"/>
      <c r="CP105" s="201"/>
      <c r="CQ105" s="201"/>
      <c r="CR105" s="201"/>
      <c r="CS105" s="201"/>
      <c r="CT105" s="201"/>
      <c r="CU105" s="201"/>
      <c r="CV105" s="201"/>
      <c r="CW105" s="201"/>
      <c r="CX105" s="201"/>
      <c r="CY105" s="201"/>
      <c r="CZ105" s="201"/>
      <c r="DA105" s="201"/>
      <c r="DB105" s="201"/>
      <c r="DC105" s="201"/>
      <c r="DD105" s="201"/>
      <c r="DE105" s="201"/>
      <c r="DF105" s="201"/>
      <c r="DG105" s="201"/>
      <c r="DH105" s="201"/>
      <c r="DI105" s="201"/>
      <c r="DJ105" s="201"/>
      <c r="DK105" s="201"/>
      <c r="DL105" s="201"/>
      <c r="DM105" s="201"/>
      <c r="DN105" s="201"/>
      <c r="DO105" s="201"/>
      <c r="DP105" s="201"/>
      <c r="DQ105" s="201"/>
      <c r="DR105" s="201"/>
      <c r="DS105" s="201"/>
      <c r="DT105" s="201"/>
      <c r="DU105" s="201"/>
      <c r="DV105" s="201"/>
      <c r="DW105" s="201"/>
      <c r="DX105" s="201"/>
      <c r="DY105" s="201"/>
      <c r="DZ105" s="201"/>
      <c r="EA105" s="201"/>
      <c r="EB105" s="201"/>
      <c r="EC105" s="201"/>
      <c r="ED105" s="201"/>
      <c r="EE105" s="201"/>
      <c r="EF105" s="201"/>
      <c r="EG105" s="201"/>
      <c r="EH105" s="201"/>
      <c r="EI105" s="201"/>
      <c r="EJ105" s="201"/>
      <c r="EK105" s="201"/>
      <c r="EL105" s="201"/>
      <c r="EM105" s="201"/>
      <c r="EN105" s="201"/>
      <c r="EO105" s="201"/>
      <c r="EP105" s="201"/>
      <c r="EQ105" s="201"/>
      <c r="ER105" s="201"/>
      <c r="ES105" s="201"/>
    </row>
    <row r="106" spans="17:149" s="146" customFormat="1">
      <c r="Q106" s="145"/>
      <c r="R106" s="145"/>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c r="BY106" s="201"/>
      <c r="BZ106" s="201"/>
      <c r="CA106" s="201"/>
      <c r="CB106" s="201"/>
      <c r="CC106" s="201"/>
      <c r="CD106" s="201"/>
      <c r="CE106" s="201"/>
      <c r="CF106" s="201"/>
      <c r="CG106" s="201"/>
      <c r="CH106" s="201"/>
      <c r="CI106" s="201"/>
      <c r="CJ106" s="201"/>
      <c r="CK106" s="201"/>
      <c r="CL106" s="201"/>
      <c r="CM106" s="201"/>
      <c r="CN106" s="201"/>
      <c r="CO106" s="201"/>
      <c r="CP106" s="201"/>
      <c r="CQ106" s="201"/>
      <c r="CR106" s="201"/>
      <c r="CS106" s="201"/>
      <c r="CT106" s="201"/>
      <c r="CU106" s="201"/>
      <c r="CV106" s="201"/>
      <c r="CW106" s="201"/>
      <c r="CX106" s="201"/>
      <c r="CY106" s="201"/>
      <c r="CZ106" s="201"/>
      <c r="DA106" s="201"/>
      <c r="DB106" s="201"/>
      <c r="DC106" s="201"/>
      <c r="DD106" s="201"/>
      <c r="DE106" s="201"/>
      <c r="DF106" s="201"/>
      <c r="DG106" s="201"/>
      <c r="DH106" s="201"/>
      <c r="DI106" s="201"/>
      <c r="DJ106" s="201"/>
      <c r="DK106" s="201"/>
      <c r="DL106" s="201"/>
      <c r="DM106" s="201"/>
      <c r="DN106" s="201"/>
      <c r="DO106" s="201"/>
      <c r="DP106" s="201"/>
      <c r="DQ106" s="201"/>
      <c r="DR106" s="201"/>
      <c r="DS106" s="201"/>
      <c r="DT106" s="201"/>
      <c r="DU106" s="201"/>
      <c r="DV106" s="201"/>
      <c r="DW106" s="201"/>
      <c r="DX106" s="201"/>
      <c r="DY106" s="201"/>
      <c r="DZ106" s="201"/>
      <c r="EA106" s="201"/>
      <c r="EB106" s="201"/>
      <c r="EC106" s="201"/>
      <c r="ED106" s="201"/>
      <c r="EE106" s="201"/>
      <c r="EF106" s="201"/>
      <c r="EG106" s="201"/>
      <c r="EH106" s="201"/>
      <c r="EI106" s="201"/>
      <c r="EJ106" s="201"/>
      <c r="EK106" s="201"/>
      <c r="EL106" s="201"/>
      <c r="EM106" s="201"/>
      <c r="EN106" s="201"/>
      <c r="EO106" s="201"/>
      <c r="EP106" s="201"/>
      <c r="EQ106" s="201"/>
      <c r="ER106" s="201"/>
      <c r="ES106" s="201"/>
    </row>
    <row r="107" spans="17:149" s="146" customFormat="1">
      <c r="Q107" s="145"/>
      <c r="R107" s="145"/>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01"/>
      <c r="BS107" s="201"/>
      <c r="BT107" s="201"/>
      <c r="BU107" s="201"/>
      <c r="BV107" s="201"/>
      <c r="BW107" s="201"/>
      <c r="BX107" s="201"/>
      <c r="BY107" s="201"/>
      <c r="BZ107" s="201"/>
      <c r="CA107" s="201"/>
      <c r="CB107" s="201"/>
      <c r="CC107" s="201"/>
      <c r="CD107" s="201"/>
      <c r="CE107" s="201"/>
      <c r="CF107" s="201"/>
      <c r="CG107" s="201"/>
      <c r="CH107" s="201"/>
      <c r="CI107" s="201"/>
      <c r="CJ107" s="201"/>
      <c r="CK107" s="201"/>
      <c r="CL107" s="201"/>
      <c r="CM107" s="201"/>
      <c r="CN107" s="201"/>
      <c r="CO107" s="201"/>
      <c r="CP107" s="201"/>
      <c r="CQ107" s="201"/>
      <c r="CR107" s="201"/>
      <c r="CS107" s="201"/>
      <c r="CT107" s="201"/>
      <c r="CU107" s="201"/>
      <c r="CV107" s="201"/>
      <c r="CW107" s="201"/>
      <c r="CX107" s="201"/>
      <c r="CY107" s="201"/>
      <c r="CZ107" s="201"/>
      <c r="DA107" s="201"/>
      <c r="DB107" s="201"/>
      <c r="DC107" s="201"/>
      <c r="DD107" s="201"/>
      <c r="DE107" s="201"/>
      <c r="DF107" s="201"/>
      <c r="DG107" s="201"/>
      <c r="DH107" s="201"/>
      <c r="DI107" s="201"/>
      <c r="DJ107" s="201"/>
      <c r="DK107" s="201"/>
      <c r="DL107" s="201"/>
      <c r="DM107" s="201"/>
      <c r="DN107" s="201"/>
      <c r="DO107" s="201"/>
      <c r="DP107" s="201"/>
      <c r="DQ107" s="201"/>
      <c r="DR107" s="201"/>
      <c r="DS107" s="201"/>
      <c r="DT107" s="201"/>
      <c r="DU107" s="201"/>
      <c r="DV107" s="201"/>
      <c r="DW107" s="201"/>
      <c r="DX107" s="201"/>
      <c r="DY107" s="201"/>
      <c r="DZ107" s="201"/>
      <c r="EA107" s="201"/>
      <c r="EB107" s="201"/>
      <c r="EC107" s="201"/>
      <c r="ED107" s="201"/>
      <c r="EE107" s="201"/>
      <c r="EF107" s="201"/>
      <c r="EG107" s="201"/>
      <c r="EH107" s="201"/>
      <c r="EI107" s="201"/>
      <c r="EJ107" s="201"/>
      <c r="EK107" s="201"/>
      <c r="EL107" s="201"/>
      <c r="EM107" s="201"/>
      <c r="EN107" s="201"/>
      <c r="EO107" s="201"/>
      <c r="EP107" s="201"/>
      <c r="EQ107" s="201"/>
      <c r="ER107" s="201"/>
      <c r="ES107" s="201"/>
    </row>
    <row r="108" spans="17:149" s="146" customFormat="1">
      <c r="Q108" s="145"/>
      <c r="R108" s="145"/>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01"/>
      <c r="BX108" s="201"/>
      <c r="BY108" s="201"/>
      <c r="BZ108" s="201"/>
      <c r="CA108" s="201"/>
      <c r="CB108" s="201"/>
      <c r="CC108" s="201"/>
      <c r="CD108" s="201"/>
      <c r="CE108" s="201"/>
      <c r="CF108" s="201"/>
      <c r="CG108" s="201"/>
      <c r="CH108" s="201"/>
      <c r="CI108" s="201"/>
      <c r="CJ108" s="201"/>
      <c r="CK108" s="201"/>
      <c r="CL108" s="201"/>
      <c r="CM108" s="201"/>
      <c r="CN108" s="201"/>
      <c r="CO108" s="201"/>
      <c r="CP108" s="201"/>
      <c r="CQ108" s="201"/>
      <c r="CR108" s="201"/>
      <c r="CS108" s="201"/>
      <c r="CT108" s="201"/>
      <c r="CU108" s="201"/>
      <c r="CV108" s="201"/>
      <c r="CW108" s="201"/>
      <c r="CX108" s="201"/>
      <c r="CY108" s="201"/>
      <c r="CZ108" s="201"/>
      <c r="DA108" s="201"/>
      <c r="DB108" s="201"/>
      <c r="DC108" s="201"/>
      <c r="DD108" s="201"/>
      <c r="DE108" s="201"/>
      <c r="DF108" s="201"/>
      <c r="DG108" s="201"/>
      <c r="DH108" s="201"/>
      <c r="DI108" s="201"/>
      <c r="DJ108" s="201"/>
      <c r="DK108" s="201"/>
      <c r="DL108" s="201"/>
      <c r="DM108" s="201"/>
      <c r="DN108" s="201"/>
      <c r="DO108" s="201"/>
      <c r="DP108" s="201"/>
      <c r="DQ108" s="201"/>
      <c r="DR108" s="201"/>
      <c r="DS108" s="201"/>
      <c r="DT108" s="201"/>
      <c r="DU108" s="201"/>
      <c r="DV108" s="201"/>
      <c r="DW108" s="201"/>
      <c r="DX108" s="201"/>
      <c r="DY108" s="201"/>
      <c r="DZ108" s="201"/>
      <c r="EA108" s="201"/>
      <c r="EB108" s="201"/>
      <c r="EC108" s="201"/>
      <c r="ED108" s="201"/>
      <c r="EE108" s="201"/>
      <c r="EF108" s="201"/>
      <c r="EG108" s="201"/>
      <c r="EH108" s="201"/>
      <c r="EI108" s="201"/>
      <c r="EJ108" s="201"/>
      <c r="EK108" s="201"/>
      <c r="EL108" s="201"/>
      <c r="EM108" s="201"/>
      <c r="EN108" s="201"/>
      <c r="EO108" s="201"/>
      <c r="EP108" s="201"/>
      <c r="EQ108" s="201"/>
      <c r="ER108" s="201"/>
      <c r="ES108" s="201"/>
    </row>
    <row r="109" spans="17:149" s="146" customFormat="1">
      <c r="Q109" s="145"/>
      <c r="R109" s="145"/>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c r="BY109" s="201"/>
      <c r="BZ109" s="201"/>
      <c r="CA109" s="201"/>
      <c r="CB109" s="201"/>
      <c r="CC109" s="201"/>
      <c r="CD109" s="201"/>
      <c r="CE109" s="201"/>
      <c r="CF109" s="201"/>
      <c r="CG109" s="201"/>
      <c r="CH109" s="201"/>
      <c r="CI109" s="201"/>
      <c r="CJ109" s="201"/>
      <c r="CK109" s="201"/>
      <c r="CL109" s="201"/>
      <c r="CM109" s="201"/>
      <c r="CN109" s="201"/>
      <c r="CO109" s="201"/>
      <c r="CP109" s="201"/>
      <c r="CQ109" s="201"/>
      <c r="CR109" s="201"/>
      <c r="CS109" s="201"/>
      <c r="CT109" s="201"/>
      <c r="CU109" s="201"/>
      <c r="CV109" s="201"/>
      <c r="CW109" s="201"/>
      <c r="CX109" s="201"/>
      <c r="CY109" s="201"/>
      <c r="CZ109" s="201"/>
      <c r="DA109" s="201"/>
      <c r="DB109" s="201"/>
      <c r="DC109" s="201"/>
      <c r="DD109" s="201"/>
      <c r="DE109" s="201"/>
      <c r="DF109" s="201"/>
      <c r="DG109" s="201"/>
      <c r="DH109" s="201"/>
      <c r="DI109" s="201"/>
      <c r="DJ109" s="201"/>
      <c r="DK109" s="201"/>
      <c r="DL109" s="201"/>
      <c r="DM109" s="201"/>
      <c r="DN109" s="201"/>
      <c r="DO109" s="201"/>
      <c r="DP109" s="201"/>
      <c r="DQ109" s="201"/>
      <c r="DR109" s="201"/>
      <c r="DS109" s="201"/>
      <c r="DT109" s="201"/>
      <c r="DU109" s="201"/>
      <c r="DV109" s="201"/>
      <c r="DW109" s="201"/>
      <c r="DX109" s="201"/>
      <c r="DY109" s="201"/>
      <c r="DZ109" s="201"/>
      <c r="EA109" s="201"/>
      <c r="EB109" s="201"/>
      <c r="EC109" s="201"/>
      <c r="ED109" s="201"/>
      <c r="EE109" s="201"/>
      <c r="EF109" s="201"/>
      <c r="EG109" s="201"/>
      <c r="EH109" s="201"/>
      <c r="EI109" s="201"/>
      <c r="EJ109" s="201"/>
      <c r="EK109" s="201"/>
      <c r="EL109" s="201"/>
      <c r="EM109" s="201"/>
      <c r="EN109" s="201"/>
      <c r="EO109" s="201"/>
      <c r="EP109" s="201"/>
      <c r="EQ109" s="201"/>
      <c r="ER109" s="201"/>
      <c r="ES109" s="201"/>
    </row>
    <row r="110" spans="17:149" s="146" customFormat="1">
      <c r="Q110" s="145"/>
      <c r="R110" s="145"/>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c r="CD110" s="201"/>
      <c r="CE110" s="201"/>
      <c r="CF110" s="201"/>
      <c r="CG110" s="201"/>
      <c r="CH110" s="201"/>
      <c r="CI110" s="201"/>
      <c r="CJ110" s="201"/>
      <c r="CK110" s="201"/>
      <c r="CL110" s="201"/>
      <c r="CM110" s="201"/>
      <c r="CN110" s="201"/>
      <c r="CO110" s="201"/>
      <c r="CP110" s="201"/>
      <c r="CQ110" s="201"/>
      <c r="CR110" s="201"/>
      <c r="CS110" s="201"/>
      <c r="CT110" s="201"/>
      <c r="CU110" s="201"/>
      <c r="CV110" s="201"/>
      <c r="CW110" s="201"/>
      <c r="CX110" s="201"/>
      <c r="CY110" s="201"/>
      <c r="CZ110" s="201"/>
      <c r="DA110" s="201"/>
      <c r="DB110" s="201"/>
      <c r="DC110" s="201"/>
      <c r="DD110" s="201"/>
      <c r="DE110" s="201"/>
      <c r="DF110" s="201"/>
      <c r="DG110" s="201"/>
      <c r="DH110" s="201"/>
      <c r="DI110" s="201"/>
      <c r="DJ110" s="201"/>
      <c r="DK110" s="201"/>
      <c r="DL110" s="201"/>
      <c r="DM110" s="201"/>
      <c r="DN110" s="201"/>
      <c r="DO110" s="201"/>
      <c r="DP110" s="201"/>
      <c r="DQ110" s="201"/>
      <c r="DR110" s="201"/>
      <c r="DS110" s="201"/>
      <c r="DT110" s="201"/>
      <c r="DU110" s="201"/>
      <c r="DV110" s="201"/>
      <c r="DW110" s="201"/>
      <c r="DX110" s="201"/>
      <c r="DY110" s="201"/>
      <c r="DZ110" s="201"/>
      <c r="EA110" s="201"/>
      <c r="EB110" s="201"/>
      <c r="EC110" s="201"/>
      <c r="ED110" s="201"/>
      <c r="EE110" s="201"/>
      <c r="EF110" s="201"/>
      <c r="EG110" s="201"/>
      <c r="EH110" s="201"/>
      <c r="EI110" s="201"/>
      <c r="EJ110" s="201"/>
      <c r="EK110" s="201"/>
      <c r="EL110" s="201"/>
      <c r="EM110" s="201"/>
      <c r="EN110" s="201"/>
      <c r="EO110" s="201"/>
      <c r="EP110" s="201"/>
      <c r="EQ110" s="201"/>
      <c r="ER110" s="201"/>
      <c r="ES110" s="201"/>
    </row>
    <row r="111" spans="17:149" s="146" customFormat="1">
      <c r="Q111" s="145"/>
      <c r="R111" s="145"/>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c r="DF111" s="201"/>
      <c r="DG111" s="201"/>
      <c r="DH111" s="201"/>
      <c r="DI111" s="201"/>
      <c r="DJ111" s="201"/>
      <c r="DK111" s="201"/>
      <c r="DL111" s="201"/>
      <c r="DM111" s="201"/>
      <c r="DN111" s="201"/>
      <c r="DO111" s="201"/>
      <c r="DP111" s="201"/>
      <c r="DQ111" s="201"/>
      <c r="DR111" s="201"/>
      <c r="DS111" s="201"/>
      <c r="DT111" s="201"/>
      <c r="DU111" s="201"/>
      <c r="DV111" s="201"/>
      <c r="DW111" s="201"/>
      <c r="DX111" s="201"/>
      <c r="DY111" s="201"/>
      <c r="DZ111" s="201"/>
      <c r="EA111" s="201"/>
      <c r="EB111" s="201"/>
      <c r="EC111" s="201"/>
      <c r="ED111" s="201"/>
      <c r="EE111" s="201"/>
      <c r="EF111" s="201"/>
      <c r="EG111" s="201"/>
      <c r="EH111" s="201"/>
      <c r="EI111" s="201"/>
      <c r="EJ111" s="201"/>
      <c r="EK111" s="201"/>
      <c r="EL111" s="201"/>
      <c r="EM111" s="201"/>
      <c r="EN111" s="201"/>
      <c r="EO111" s="201"/>
      <c r="EP111" s="201"/>
      <c r="EQ111" s="201"/>
      <c r="ER111" s="201"/>
      <c r="ES111" s="201"/>
    </row>
    <row r="112" spans="17:149" s="146" customFormat="1">
      <c r="Q112" s="145"/>
      <c r="R112" s="145"/>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c r="BY112" s="201"/>
      <c r="BZ112" s="201"/>
      <c r="CA112" s="201"/>
      <c r="CB112" s="201"/>
      <c r="CC112" s="201"/>
      <c r="CD112" s="201"/>
      <c r="CE112" s="201"/>
      <c r="CF112" s="201"/>
      <c r="CG112" s="201"/>
      <c r="CH112" s="201"/>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c r="EF112" s="201"/>
      <c r="EG112" s="201"/>
      <c r="EH112" s="201"/>
      <c r="EI112" s="201"/>
      <c r="EJ112" s="201"/>
      <c r="EK112" s="201"/>
      <c r="EL112" s="201"/>
      <c r="EM112" s="201"/>
      <c r="EN112" s="201"/>
      <c r="EO112" s="201"/>
      <c r="EP112" s="201"/>
      <c r="EQ112" s="201"/>
      <c r="ER112" s="201"/>
      <c r="ES112" s="201"/>
    </row>
    <row r="113" spans="17:149" s="146" customFormat="1">
      <c r="Q113" s="145"/>
      <c r="R113" s="145"/>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c r="CD113" s="201"/>
      <c r="CE113" s="201"/>
      <c r="CF113" s="201"/>
      <c r="CG113" s="201"/>
      <c r="CH113" s="201"/>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01"/>
      <c r="DV113" s="201"/>
      <c r="DW113" s="201"/>
      <c r="DX113" s="201"/>
      <c r="DY113" s="201"/>
      <c r="DZ113" s="201"/>
      <c r="EA113" s="201"/>
      <c r="EB113" s="201"/>
      <c r="EC113" s="201"/>
      <c r="ED113" s="201"/>
      <c r="EE113" s="201"/>
      <c r="EF113" s="201"/>
      <c r="EG113" s="201"/>
      <c r="EH113" s="201"/>
      <c r="EI113" s="201"/>
      <c r="EJ113" s="201"/>
      <c r="EK113" s="201"/>
      <c r="EL113" s="201"/>
      <c r="EM113" s="201"/>
      <c r="EN113" s="201"/>
      <c r="EO113" s="201"/>
      <c r="EP113" s="201"/>
      <c r="EQ113" s="201"/>
      <c r="ER113" s="201"/>
      <c r="ES113" s="201"/>
    </row>
    <row r="114" spans="17:149" s="146" customFormat="1">
      <c r="Q114" s="145"/>
      <c r="R114" s="145"/>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01"/>
      <c r="CD114" s="201"/>
      <c r="CE114" s="201"/>
      <c r="CF114" s="201"/>
      <c r="CG114" s="201"/>
      <c r="CH114" s="201"/>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1"/>
      <c r="DT114" s="201"/>
      <c r="DU114" s="201"/>
      <c r="DV114" s="201"/>
      <c r="DW114" s="201"/>
      <c r="DX114" s="201"/>
      <c r="DY114" s="201"/>
      <c r="DZ114" s="201"/>
      <c r="EA114" s="201"/>
      <c r="EB114" s="201"/>
      <c r="EC114" s="201"/>
      <c r="ED114" s="201"/>
      <c r="EE114" s="201"/>
      <c r="EF114" s="201"/>
      <c r="EG114" s="201"/>
      <c r="EH114" s="201"/>
      <c r="EI114" s="201"/>
      <c r="EJ114" s="201"/>
      <c r="EK114" s="201"/>
      <c r="EL114" s="201"/>
      <c r="EM114" s="201"/>
      <c r="EN114" s="201"/>
      <c r="EO114" s="201"/>
      <c r="EP114" s="201"/>
      <c r="EQ114" s="201"/>
      <c r="ER114" s="201"/>
      <c r="ES114" s="201"/>
    </row>
    <row r="115" spans="17:149" s="146" customFormat="1">
      <c r="Q115" s="145"/>
      <c r="R115" s="145"/>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201"/>
      <c r="CD115" s="201"/>
      <c r="CE115" s="201"/>
      <c r="CF115" s="201"/>
      <c r="CG115" s="201"/>
      <c r="CH115" s="201"/>
      <c r="CI115" s="201"/>
      <c r="CJ115" s="201"/>
      <c r="CK115" s="201"/>
      <c r="CL115" s="201"/>
      <c r="CM115" s="201"/>
      <c r="CN115" s="201"/>
      <c r="CO115" s="201"/>
      <c r="CP115" s="201"/>
      <c r="CQ115" s="201"/>
      <c r="CR115" s="201"/>
      <c r="CS115" s="201"/>
      <c r="CT115" s="201"/>
      <c r="CU115" s="201"/>
      <c r="CV115" s="201"/>
      <c r="CW115" s="201"/>
      <c r="CX115" s="201"/>
      <c r="CY115" s="201"/>
      <c r="CZ115" s="201"/>
      <c r="DA115" s="201"/>
      <c r="DB115" s="201"/>
      <c r="DC115" s="201"/>
      <c r="DD115" s="201"/>
      <c r="DE115" s="201"/>
      <c r="DF115" s="201"/>
      <c r="DG115" s="201"/>
      <c r="DH115" s="201"/>
      <c r="DI115" s="201"/>
      <c r="DJ115" s="201"/>
      <c r="DK115" s="201"/>
      <c r="DL115" s="201"/>
      <c r="DM115" s="201"/>
      <c r="DN115" s="201"/>
      <c r="DO115" s="201"/>
      <c r="DP115" s="201"/>
      <c r="DQ115" s="201"/>
      <c r="DR115" s="201"/>
      <c r="DS115" s="201"/>
      <c r="DT115" s="201"/>
      <c r="DU115" s="201"/>
      <c r="DV115" s="201"/>
      <c r="DW115" s="201"/>
      <c r="DX115" s="201"/>
      <c r="DY115" s="201"/>
      <c r="DZ115" s="201"/>
      <c r="EA115" s="201"/>
      <c r="EB115" s="201"/>
      <c r="EC115" s="201"/>
      <c r="ED115" s="201"/>
      <c r="EE115" s="201"/>
      <c r="EF115" s="201"/>
      <c r="EG115" s="201"/>
      <c r="EH115" s="201"/>
      <c r="EI115" s="201"/>
      <c r="EJ115" s="201"/>
      <c r="EK115" s="201"/>
      <c r="EL115" s="201"/>
      <c r="EM115" s="201"/>
      <c r="EN115" s="201"/>
      <c r="EO115" s="201"/>
      <c r="EP115" s="201"/>
      <c r="EQ115" s="201"/>
      <c r="ER115" s="201"/>
      <c r="ES115" s="201"/>
    </row>
    <row r="116" spans="17:149" s="146" customFormat="1">
      <c r="Q116" s="145"/>
      <c r="R116" s="145"/>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c r="CQ116" s="201"/>
      <c r="CR116" s="201"/>
      <c r="CS116" s="201"/>
      <c r="CT116" s="201"/>
      <c r="CU116" s="201"/>
      <c r="CV116" s="201"/>
      <c r="CW116" s="201"/>
      <c r="CX116" s="201"/>
      <c r="CY116" s="201"/>
      <c r="CZ116" s="201"/>
      <c r="DA116" s="201"/>
      <c r="DB116" s="201"/>
      <c r="DC116" s="201"/>
      <c r="DD116" s="201"/>
      <c r="DE116" s="201"/>
      <c r="DF116" s="201"/>
      <c r="DG116" s="201"/>
      <c r="DH116" s="201"/>
      <c r="DI116" s="201"/>
      <c r="DJ116" s="201"/>
      <c r="DK116" s="201"/>
      <c r="DL116" s="201"/>
      <c r="DM116" s="201"/>
      <c r="DN116" s="201"/>
      <c r="DO116" s="201"/>
      <c r="DP116" s="201"/>
      <c r="DQ116" s="201"/>
      <c r="DR116" s="201"/>
      <c r="DS116" s="201"/>
      <c r="DT116" s="201"/>
      <c r="DU116" s="201"/>
      <c r="DV116" s="201"/>
      <c r="DW116" s="201"/>
      <c r="DX116" s="201"/>
      <c r="DY116" s="201"/>
      <c r="DZ116" s="201"/>
      <c r="EA116" s="201"/>
      <c r="EB116" s="201"/>
      <c r="EC116" s="201"/>
      <c r="ED116" s="201"/>
      <c r="EE116" s="201"/>
      <c r="EF116" s="201"/>
      <c r="EG116" s="201"/>
      <c r="EH116" s="201"/>
      <c r="EI116" s="201"/>
      <c r="EJ116" s="201"/>
      <c r="EK116" s="201"/>
      <c r="EL116" s="201"/>
      <c r="EM116" s="201"/>
      <c r="EN116" s="201"/>
      <c r="EO116" s="201"/>
      <c r="EP116" s="201"/>
      <c r="EQ116" s="201"/>
      <c r="ER116" s="201"/>
      <c r="ES116" s="201"/>
    </row>
    <row r="117" spans="17:149" s="146" customFormat="1">
      <c r="Q117" s="145"/>
      <c r="R117" s="145"/>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201"/>
      <c r="CD117" s="201"/>
      <c r="CE117" s="201"/>
      <c r="CF117" s="201"/>
      <c r="CG117" s="201"/>
      <c r="CH117" s="201"/>
      <c r="CI117" s="201"/>
      <c r="CJ117" s="201"/>
      <c r="CK117" s="201"/>
      <c r="CL117" s="201"/>
      <c r="CM117" s="201"/>
      <c r="CN117" s="201"/>
      <c r="CO117" s="201"/>
      <c r="CP117" s="201"/>
      <c r="CQ117" s="201"/>
      <c r="CR117" s="201"/>
      <c r="CS117" s="201"/>
      <c r="CT117" s="201"/>
      <c r="CU117" s="201"/>
      <c r="CV117" s="201"/>
      <c r="CW117" s="201"/>
      <c r="CX117" s="201"/>
      <c r="CY117" s="201"/>
      <c r="CZ117" s="201"/>
      <c r="DA117" s="201"/>
      <c r="DB117" s="201"/>
      <c r="DC117" s="201"/>
      <c r="DD117" s="201"/>
      <c r="DE117" s="201"/>
      <c r="DF117" s="201"/>
      <c r="DG117" s="201"/>
      <c r="DH117" s="201"/>
      <c r="DI117" s="201"/>
      <c r="DJ117" s="201"/>
      <c r="DK117" s="201"/>
      <c r="DL117" s="201"/>
      <c r="DM117" s="201"/>
      <c r="DN117" s="201"/>
      <c r="DO117" s="201"/>
      <c r="DP117" s="201"/>
      <c r="DQ117" s="201"/>
      <c r="DR117" s="201"/>
      <c r="DS117" s="201"/>
      <c r="DT117" s="201"/>
      <c r="DU117" s="201"/>
      <c r="DV117" s="201"/>
      <c r="DW117" s="201"/>
      <c r="DX117" s="201"/>
      <c r="DY117" s="201"/>
      <c r="DZ117" s="201"/>
      <c r="EA117" s="201"/>
      <c r="EB117" s="201"/>
      <c r="EC117" s="201"/>
      <c r="ED117" s="201"/>
      <c r="EE117" s="201"/>
      <c r="EF117" s="201"/>
      <c r="EG117" s="201"/>
      <c r="EH117" s="201"/>
      <c r="EI117" s="201"/>
      <c r="EJ117" s="201"/>
      <c r="EK117" s="201"/>
      <c r="EL117" s="201"/>
      <c r="EM117" s="201"/>
      <c r="EN117" s="201"/>
      <c r="EO117" s="201"/>
      <c r="EP117" s="201"/>
      <c r="EQ117" s="201"/>
      <c r="ER117" s="201"/>
      <c r="ES117" s="201"/>
    </row>
    <row r="118" spans="17:149" s="146" customFormat="1">
      <c r="Q118" s="145"/>
      <c r="R118" s="145"/>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c r="BY118" s="201"/>
      <c r="BZ118" s="201"/>
      <c r="CA118" s="201"/>
      <c r="CB118" s="201"/>
      <c r="CC118" s="201"/>
      <c r="CD118" s="201"/>
      <c r="CE118" s="201"/>
      <c r="CF118" s="201"/>
      <c r="CG118" s="201"/>
      <c r="CH118" s="201"/>
      <c r="CI118" s="201"/>
      <c r="CJ118" s="201"/>
      <c r="CK118" s="201"/>
      <c r="CL118" s="201"/>
      <c r="CM118" s="201"/>
      <c r="CN118" s="201"/>
      <c r="CO118" s="201"/>
      <c r="CP118" s="201"/>
      <c r="CQ118" s="201"/>
      <c r="CR118" s="201"/>
      <c r="CS118" s="201"/>
      <c r="CT118" s="201"/>
      <c r="CU118" s="201"/>
      <c r="CV118" s="201"/>
      <c r="CW118" s="201"/>
      <c r="CX118" s="201"/>
      <c r="CY118" s="201"/>
      <c r="CZ118" s="201"/>
      <c r="DA118" s="201"/>
      <c r="DB118" s="201"/>
      <c r="DC118" s="201"/>
      <c r="DD118" s="201"/>
      <c r="DE118" s="201"/>
      <c r="DF118" s="201"/>
      <c r="DG118" s="201"/>
      <c r="DH118" s="201"/>
      <c r="DI118" s="201"/>
      <c r="DJ118" s="201"/>
      <c r="DK118" s="201"/>
      <c r="DL118" s="201"/>
      <c r="DM118" s="201"/>
      <c r="DN118" s="201"/>
      <c r="DO118" s="201"/>
      <c r="DP118" s="201"/>
      <c r="DQ118" s="201"/>
      <c r="DR118" s="201"/>
      <c r="DS118" s="201"/>
      <c r="DT118" s="201"/>
      <c r="DU118" s="201"/>
      <c r="DV118" s="201"/>
      <c r="DW118" s="201"/>
      <c r="DX118" s="201"/>
      <c r="DY118" s="201"/>
      <c r="DZ118" s="201"/>
      <c r="EA118" s="201"/>
      <c r="EB118" s="201"/>
      <c r="EC118" s="201"/>
      <c r="ED118" s="201"/>
      <c r="EE118" s="201"/>
      <c r="EF118" s="201"/>
      <c r="EG118" s="201"/>
      <c r="EH118" s="201"/>
      <c r="EI118" s="201"/>
      <c r="EJ118" s="201"/>
      <c r="EK118" s="201"/>
      <c r="EL118" s="201"/>
      <c r="EM118" s="201"/>
      <c r="EN118" s="201"/>
      <c r="EO118" s="201"/>
      <c r="EP118" s="201"/>
      <c r="EQ118" s="201"/>
      <c r="ER118" s="201"/>
      <c r="ES118" s="201"/>
    </row>
    <row r="119" spans="17:149" s="146" customFormat="1">
      <c r="Q119" s="145"/>
      <c r="R119" s="145"/>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c r="BY119" s="201"/>
      <c r="BZ119" s="201"/>
      <c r="CA119" s="201"/>
      <c r="CB119" s="201"/>
      <c r="CC119" s="201"/>
      <c r="CD119" s="201"/>
      <c r="CE119" s="201"/>
      <c r="CF119" s="201"/>
      <c r="CG119" s="201"/>
      <c r="CH119" s="201"/>
      <c r="CI119" s="201"/>
      <c r="CJ119" s="201"/>
      <c r="CK119" s="201"/>
      <c r="CL119" s="201"/>
      <c r="CM119" s="201"/>
      <c r="CN119" s="201"/>
      <c r="CO119" s="201"/>
      <c r="CP119" s="201"/>
      <c r="CQ119" s="201"/>
      <c r="CR119" s="201"/>
      <c r="CS119" s="201"/>
      <c r="CT119" s="201"/>
      <c r="CU119" s="201"/>
      <c r="CV119" s="201"/>
      <c r="CW119" s="201"/>
      <c r="CX119" s="201"/>
      <c r="CY119" s="201"/>
      <c r="CZ119" s="201"/>
      <c r="DA119" s="201"/>
      <c r="DB119" s="201"/>
      <c r="DC119" s="201"/>
      <c r="DD119" s="201"/>
      <c r="DE119" s="201"/>
      <c r="DF119" s="201"/>
      <c r="DG119" s="201"/>
      <c r="DH119" s="201"/>
      <c r="DI119" s="201"/>
      <c r="DJ119" s="201"/>
      <c r="DK119" s="201"/>
      <c r="DL119" s="201"/>
      <c r="DM119" s="201"/>
      <c r="DN119" s="201"/>
      <c r="DO119" s="201"/>
      <c r="DP119" s="201"/>
      <c r="DQ119" s="201"/>
      <c r="DR119" s="201"/>
      <c r="DS119" s="201"/>
      <c r="DT119" s="201"/>
      <c r="DU119" s="201"/>
      <c r="DV119" s="201"/>
      <c r="DW119" s="201"/>
      <c r="DX119" s="201"/>
      <c r="DY119" s="201"/>
      <c r="DZ119" s="201"/>
      <c r="EA119" s="201"/>
      <c r="EB119" s="201"/>
      <c r="EC119" s="201"/>
      <c r="ED119" s="201"/>
      <c r="EE119" s="201"/>
      <c r="EF119" s="201"/>
      <c r="EG119" s="201"/>
      <c r="EH119" s="201"/>
      <c r="EI119" s="201"/>
      <c r="EJ119" s="201"/>
      <c r="EK119" s="201"/>
      <c r="EL119" s="201"/>
      <c r="EM119" s="201"/>
      <c r="EN119" s="201"/>
      <c r="EO119" s="201"/>
      <c r="EP119" s="201"/>
      <c r="EQ119" s="201"/>
      <c r="ER119" s="201"/>
      <c r="ES119" s="201"/>
    </row>
    <row r="120" spans="17:149" s="146" customFormat="1">
      <c r="Q120" s="145"/>
      <c r="R120" s="145"/>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01"/>
      <c r="EH120" s="201"/>
      <c r="EI120" s="201"/>
      <c r="EJ120" s="201"/>
      <c r="EK120" s="201"/>
      <c r="EL120" s="201"/>
      <c r="EM120" s="201"/>
      <c r="EN120" s="201"/>
      <c r="EO120" s="201"/>
      <c r="EP120" s="201"/>
      <c r="EQ120" s="201"/>
      <c r="ER120" s="201"/>
      <c r="ES120" s="201"/>
    </row>
    <row r="121" spans="17:149" s="146" customFormat="1">
      <c r="Q121" s="145"/>
      <c r="R121" s="145"/>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row>
    <row r="122" spans="17:149" s="146" customFormat="1">
      <c r="Q122" s="145"/>
      <c r="R122" s="145"/>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row>
    <row r="123" spans="17:149" s="146" customFormat="1">
      <c r="Q123" s="145"/>
      <c r="R123" s="145"/>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c r="CQ123" s="201"/>
      <c r="CR123" s="201"/>
      <c r="CS123" s="201"/>
      <c r="CT123" s="201"/>
      <c r="CU123" s="201"/>
      <c r="CV123" s="201"/>
      <c r="CW123" s="201"/>
      <c r="CX123" s="201"/>
      <c r="CY123" s="201"/>
      <c r="CZ123" s="201"/>
      <c r="DA123" s="201"/>
      <c r="DB123" s="201"/>
      <c r="DC123" s="201"/>
      <c r="DD123" s="201"/>
      <c r="DE123" s="201"/>
      <c r="DF123" s="201"/>
      <c r="DG123" s="201"/>
      <c r="DH123" s="201"/>
      <c r="DI123" s="201"/>
      <c r="DJ123" s="201"/>
      <c r="DK123" s="201"/>
      <c r="DL123" s="201"/>
      <c r="DM123" s="201"/>
      <c r="DN123" s="201"/>
      <c r="DO123" s="201"/>
      <c r="DP123" s="201"/>
      <c r="DQ123" s="201"/>
      <c r="DR123" s="201"/>
      <c r="DS123" s="201"/>
      <c r="DT123" s="201"/>
      <c r="DU123" s="201"/>
      <c r="DV123" s="201"/>
      <c r="DW123" s="201"/>
      <c r="DX123" s="201"/>
      <c r="DY123" s="201"/>
      <c r="DZ123" s="201"/>
      <c r="EA123" s="201"/>
      <c r="EB123" s="201"/>
      <c r="EC123" s="201"/>
      <c r="ED123" s="201"/>
      <c r="EE123" s="201"/>
      <c r="EF123" s="201"/>
      <c r="EG123" s="201"/>
      <c r="EH123" s="201"/>
      <c r="EI123" s="201"/>
      <c r="EJ123" s="201"/>
      <c r="EK123" s="201"/>
      <c r="EL123" s="201"/>
      <c r="EM123" s="201"/>
      <c r="EN123" s="201"/>
      <c r="EO123" s="201"/>
      <c r="EP123" s="201"/>
      <c r="EQ123" s="201"/>
      <c r="ER123" s="201"/>
      <c r="ES123" s="201"/>
    </row>
    <row r="124" spans="17:149" s="146" customFormat="1">
      <c r="Q124" s="145"/>
      <c r="R124" s="145"/>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c r="CQ124" s="201"/>
      <c r="CR124" s="201"/>
      <c r="CS124" s="201"/>
      <c r="CT124" s="201"/>
      <c r="CU124" s="201"/>
      <c r="CV124" s="201"/>
      <c r="CW124" s="201"/>
      <c r="CX124" s="201"/>
      <c r="CY124" s="201"/>
      <c r="CZ124" s="201"/>
      <c r="DA124" s="201"/>
      <c r="DB124" s="201"/>
      <c r="DC124" s="201"/>
      <c r="DD124" s="201"/>
      <c r="DE124" s="201"/>
      <c r="DF124" s="201"/>
      <c r="DG124" s="201"/>
      <c r="DH124" s="201"/>
      <c r="DI124" s="201"/>
      <c r="DJ124" s="201"/>
      <c r="DK124" s="201"/>
      <c r="DL124" s="201"/>
      <c r="DM124" s="201"/>
      <c r="DN124" s="201"/>
      <c r="DO124" s="201"/>
      <c r="DP124" s="201"/>
      <c r="DQ124" s="201"/>
      <c r="DR124" s="201"/>
      <c r="DS124" s="201"/>
      <c r="DT124" s="201"/>
      <c r="DU124" s="201"/>
      <c r="DV124" s="201"/>
      <c r="DW124" s="201"/>
      <c r="DX124" s="201"/>
      <c r="DY124" s="201"/>
      <c r="DZ124" s="201"/>
      <c r="EA124" s="201"/>
      <c r="EB124" s="201"/>
      <c r="EC124" s="201"/>
      <c r="ED124" s="201"/>
      <c r="EE124" s="201"/>
      <c r="EF124" s="201"/>
      <c r="EG124" s="201"/>
      <c r="EH124" s="201"/>
      <c r="EI124" s="201"/>
      <c r="EJ124" s="201"/>
      <c r="EK124" s="201"/>
      <c r="EL124" s="201"/>
      <c r="EM124" s="201"/>
      <c r="EN124" s="201"/>
      <c r="EO124" s="201"/>
      <c r="EP124" s="201"/>
      <c r="EQ124" s="201"/>
      <c r="ER124" s="201"/>
      <c r="ES124" s="201"/>
    </row>
    <row r="125" spans="17:149" s="146" customFormat="1">
      <c r="Q125" s="145"/>
      <c r="R125" s="145"/>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201"/>
      <c r="CJ125" s="201"/>
      <c r="CK125" s="201"/>
      <c r="CL125" s="201"/>
      <c r="CM125" s="201"/>
      <c r="CN125" s="201"/>
      <c r="CO125" s="201"/>
      <c r="CP125" s="201"/>
      <c r="CQ125" s="201"/>
      <c r="CR125" s="201"/>
      <c r="CS125" s="201"/>
      <c r="CT125" s="201"/>
      <c r="CU125" s="201"/>
      <c r="CV125" s="201"/>
      <c r="CW125" s="201"/>
      <c r="CX125" s="201"/>
      <c r="CY125" s="201"/>
      <c r="CZ125" s="201"/>
      <c r="DA125" s="201"/>
      <c r="DB125" s="201"/>
      <c r="DC125" s="201"/>
      <c r="DD125" s="201"/>
      <c r="DE125" s="201"/>
      <c r="DF125" s="201"/>
      <c r="DG125" s="201"/>
      <c r="DH125" s="201"/>
      <c r="DI125" s="201"/>
      <c r="DJ125" s="201"/>
      <c r="DK125" s="201"/>
      <c r="DL125" s="201"/>
      <c r="DM125" s="201"/>
      <c r="DN125" s="201"/>
      <c r="DO125" s="201"/>
      <c r="DP125" s="201"/>
      <c r="DQ125" s="201"/>
      <c r="DR125" s="201"/>
      <c r="DS125" s="201"/>
      <c r="DT125" s="201"/>
      <c r="DU125" s="201"/>
      <c r="DV125" s="201"/>
      <c r="DW125" s="201"/>
      <c r="DX125" s="201"/>
      <c r="DY125" s="201"/>
      <c r="DZ125" s="201"/>
      <c r="EA125" s="201"/>
      <c r="EB125" s="201"/>
      <c r="EC125" s="201"/>
      <c r="ED125" s="201"/>
      <c r="EE125" s="201"/>
      <c r="EF125" s="201"/>
      <c r="EG125" s="201"/>
      <c r="EH125" s="201"/>
      <c r="EI125" s="201"/>
      <c r="EJ125" s="201"/>
      <c r="EK125" s="201"/>
      <c r="EL125" s="201"/>
      <c r="EM125" s="201"/>
      <c r="EN125" s="201"/>
      <c r="EO125" s="201"/>
      <c r="EP125" s="201"/>
      <c r="EQ125" s="201"/>
      <c r="ER125" s="201"/>
      <c r="ES125" s="201"/>
    </row>
    <row r="126" spans="17:149" s="146" customFormat="1">
      <c r="Q126" s="145"/>
      <c r="R126" s="145"/>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01"/>
      <c r="CE126" s="201"/>
      <c r="CF126" s="201"/>
      <c r="CG126" s="201"/>
      <c r="CH126" s="201"/>
      <c r="CI126" s="201"/>
      <c r="CJ126" s="201"/>
      <c r="CK126" s="201"/>
      <c r="CL126" s="201"/>
      <c r="CM126" s="201"/>
      <c r="CN126" s="201"/>
      <c r="CO126" s="201"/>
      <c r="CP126" s="201"/>
      <c r="CQ126" s="201"/>
      <c r="CR126" s="201"/>
      <c r="CS126" s="201"/>
      <c r="CT126" s="201"/>
      <c r="CU126" s="201"/>
      <c r="CV126" s="201"/>
      <c r="CW126" s="201"/>
      <c r="CX126" s="201"/>
      <c r="CY126" s="201"/>
      <c r="CZ126" s="201"/>
      <c r="DA126" s="201"/>
      <c r="DB126" s="201"/>
      <c r="DC126" s="201"/>
      <c r="DD126" s="201"/>
      <c r="DE126" s="201"/>
      <c r="DF126" s="201"/>
      <c r="DG126" s="201"/>
      <c r="DH126" s="201"/>
      <c r="DI126" s="201"/>
      <c r="DJ126" s="201"/>
      <c r="DK126" s="201"/>
      <c r="DL126" s="201"/>
      <c r="DM126" s="201"/>
      <c r="DN126" s="201"/>
      <c r="DO126" s="201"/>
      <c r="DP126" s="201"/>
      <c r="DQ126" s="201"/>
      <c r="DR126" s="201"/>
      <c r="DS126" s="201"/>
      <c r="DT126" s="201"/>
      <c r="DU126" s="201"/>
      <c r="DV126" s="201"/>
      <c r="DW126" s="201"/>
      <c r="DX126" s="201"/>
      <c r="DY126" s="201"/>
      <c r="DZ126" s="201"/>
      <c r="EA126" s="201"/>
      <c r="EB126" s="201"/>
      <c r="EC126" s="201"/>
      <c r="ED126" s="201"/>
      <c r="EE126" s="201"/>
      <c r="EF126" s="201"/>
      <c r="EG126" s="201"/>
      <c r="EH126" s="201"/>
      <c r="EI126" s="201"/>
      <c r="EJ126" s="201"/>
      <c r="EK126" s="201"/>
      <c r="EL126" s="201"/>
      <c r="EM126" s="201"/>
      <c r="EN126" s="201"/>
      <c r="EO126" s="201"/>
      <c r="EP126" s="201"/>
      <c r="EQ126" s="201"/>
      <c r="ER126" s="201"/>
      <c r="ES126" s="201"/>
    </row>
    <row r="127" spans="17:149" s="146" customFormat="1">
      <c r="Q127" s="145"/>
      <c r="R127" s="145"/>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c r="BY127" s="201"/>
      <c r="BZ127" s="201"/>
      <c r="CA127" s="201"/>
      <c r="CB127" s="201"/>
      <c r="CC127" s="201"/>
      <c r="CD127" s="201"/>
      <c r="CE127" s="201"/>
      <c r="CF127" s="201"/>
      <c r="CG127" s="201"/>
      <c r="CH127" s="201"/>
      <c r="CI127" s="201"/>
      <c r="CJ127" s="201"/>
      <c r="CK127" s="201"/>
      <c r="CL127" s="201"/>
      <c r="CM127" s="201"/>
      <c r="CN127" s="201"/>
      <c r="CO127" s="201"/>
      <c r="CP127" s="201"/>
      <c r="CQ127" s="201"/>
      <c r="CR127" s="201"/>
      <c r="CS127" s="201"/>
      <c r="CT127" s="201"/>
      <c r="CU127" s="201"/>
      <c r="CV127" s="201"/>
      <c r="CW127" s="201"/>
      <c r="CX127" s="201"/>
      <c r="CY127" s="201"/>
      <c r="CZ127" s="201"/>
      <c r="DA127" s="201"/>
      <c r="DB127" s="201"/>
      <c r="DC127" s="201"/>
      <c r="DD127" s="201"/>
      <c r="DE127" s="201"/>
      <c r="DF127" s="201"/>
      <c r="DG127" s="201"/>
      <c r="DH127" s="201"/>
      <c r="DI127" s="201"/>
      <c r="DJ127" s="201"/>
      <c r="DK127" s="201"/>
      <c r="DL127" s="201"/>
      <c r="DM127" s="201"/>
      <c r="DN127" s="201"/>
      <c r="DO127" s="201"/>
      <c r="DP127" s="201"/>
      <c r="DQ127" s="201"/>
      <c r="DR127" s="201"/>
      <c r="DS127" s="201"/>
      <c r="DT127" s="201"/>
      <c r="DU127" s="201"/>
      <c r="DV127" s="201"/>
      <c r="DW127" s="201"/>
      <c r="DX127" s="201"/>
      <c r="DY127" s="201"/>
      <c r="DZ127" s="201"/>
      <c r="EA127" s="201"/>
      <c r="EB127" s="201"/>
      <c r="EC127" s="201"/>
      <c r="ED127" s="201"/>
      <c r="EE127" s="201"/>
      <c r="EF127" s="201"/>
      <c r="EG127" s="201"/>
      <c r="EH127" s="201"/>
      <c r="EI127" s="201"/>
      <c r="EJ127" s="201"/>
      <c r="EK127" s="201"/>
      <c r="EL127" s="201"/>
      <c r="EM127" s="201"/>
      <c r="EN127" s="201"/>
      <c r="EO127" s="201"/>
      <c r="EP127" s="201"/>
      <c r="EQ127" s="201"/>
      <c r="ER127" s="201"/>
      <c r="ES127" s="201"/>
    </row>
    <row r="128" spans="17:149" s="146" customFormat="1">
      <c r="Q128" s="145"/>
      <c r="R128" s="145"/>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c r="BY128" s="201"/>
      <c r="BZ128" s="201"/>
      <c r="CA128" s="201"/>
      <c r="CB128" s="201"/>
      <c r="CC128" s="201"/>
      <c r="CD128" s="201"/>
      <c r="CE128" s="201"/>
      <c r="CF128" s="201"/>
      <c r="CG128" s="201"/>
      <c r="CH128" s="201"/>
      <c r="CI128" s="201"/>
      <c r="CJ128" s="201"/>
      <c r="CK128" s="201"/>
      <c r="CL128" s="201"/>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1"/>
      <c r="DJ128" s="201"/>
      <c r="DK128" s="201"/>
      <c r="DL128" s="201"/>
      <c r="DM128" s="201"/>
      <c r="DN128" s="201"/>
      <c r="DO128" s="201"/>
      <c r="DP128" s="201"/>
      <c r="DQ128" s="201"/>
      <c r="DR128" s="201"/>
      <c r="DS128" s="201"/>
      <c r="DT128" s="201"/>
      <c r="DU128" s="201"/>
      <c r="DV128" s="201"/>
      <c r="DW128" s="201"/>
      <c r="DX128" s="201"/>
      <c r="DY128" s="201"/>
      <c r="DZ128" s="201"/>
      <c r="EA128" s="201"/>
      <c r="EB128" s="201"/>
      <c r="EC128" s="201"/>
      <c r="ED128" s="201"/>
      <c r="EE128" s="201"/>
      <c r="EF128" s="201"/>
      <c r="EG128" s="201"/>
      <c r="EH128" s="201"/>
      <c r="EI128" s="201"/>
      <c r="EJ128" s="201"/>
      <c r="EK128" s="201"/>
      <c r="EL128" s="201"/>
      <c r="EM128" s="201"/>
      <c r="EN128" s="201"/>
      <c r="EO128" s="201"/>
      <c r="EP128" s="201"/>
      <c r="EQ128" s="201"/>
      <c r="ER128" s="201"/>
      <c r="ES128" s="201"/>
    </row>
    <row r="129" spans="17:149" s="146" customFormat="1">
      <c r="Q129" s="145"/>
      <c r="R129" s="145"/>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c r="BY129" s="201"/>
      <c r="BZ129" s="201"/>
      <c r="CA129" s="201"/>
      <c r="CB129" s="201"/>
      <c r="CC129" s="201"/>
      <c r="CD129" s="201"/>
      <c r="CE129" s="201"/>
      <c r="CF129" s="201"/>
      <c r="CG129" s="201"/>
      <c r="CH129" s="201"/>
      <c r="CI129" s="201"/>
      <c r="CJ129" s="201"/>
      <c r="CK129" s="201"/>
      <c r="CL129" s="201"/>
      <c r="CM129" s="201"/>
      <c r="CN129" s="201"/>
      <c r="CO129" s="201"/>
      <c r="CP129" s="201"/>
      <c r="CQ129" s="201"/>
      <c r="CR129" s="201"/>
      <c r="CS129" s="201"/>
      <c r="CT129" s="201"/>
      <c r="CU129" s="201"/>
      <c r="CV129" s="201"/>
      <c r="CW129" s="201"/>
      <c r="CX129" s="201"/>
      <c r="CY129" s="201"/>
      <c r="CZ129" s="201"/>
      <c r="DA129" s="201"/>
      <c r="DB129" s="201"/>
      <c r="DC129" s="201"/>
      <c r="DD129" s="201"/>
      <c r="DE129" s="201"/>
      <c r="DF129" s="201"/>
      <c r="DG129" s="201"/>
      <c r="DH129" s="201"/>
      <c r="DI129" s="201"/>
      <c r="DJ129" s="201"/>
      <c r="DK129" s="201"/>
      <c r="DL129" s="201"/>
      <c r="DM129" s="201"/>
      <c r="DN129" s="201"/>
      <c r="DO129" s="201"/>
      <c r="DP129" s="201"/>
      <c r="DQ129" s="201"/>
      <c r="DR129" s="201"/>
      <c r="DS129" s="201"/>
      <c r="DT129" s="201"/>
      <c r="DU129" s="201"/>
      <c r="DV129" s="201"/>
      <c r="DW129" s="201"/>
      <c r="DX129" s="201"/>
      <c r="DY129" s="201"/>
      <c r="DZ129" s="201"/>
      <c r="EA129" s="201"/>
      <c r="EB129" s="201"/>
      <c r="EC129" s="201"/>
      <c r="ED129" s="201"/>
      <c r="EE129" s="201"/>
      <c r="EF129" s="201"/>
      <c r="EG129" s="201"/>
      <c r="EH129" s="201"/>
      <c r="EI129" s="201"/>
      <c r="EJ129" s="201"/>
      <c r="EK129" s="201"/>
      <c r="EL129" s="201"/>
      <c r="EM129" s="201"/>
      <c r="EN129" s="201"/>
      <c r="EO129" s="201"/>
      <c r="EP129" s="201"/>
      <c r="EQ129" s="201"/>
      <c r="ER129" s="201"/>
      <c r="ES129" s="201"/>
    </row>
    <row r="130" spans="17:149" s="146" customFormat="1">
      <c r="Q130" s="145"/>
      <c r="R130" s="145"/>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c r="BY130" s="201"/>
      <c r="BZ130" s="201"/>
      <c r="CA130" s="201"/>
      <c r="CB130" s="201"/>
      <c r="CC130" s="201"/>
      <c r="CD130" s="201"/>
      <c r="CE130" s="201"/>
      <c r="CF130" s="201"/>
      <c r="CG130" s="201"/>
      <c r="CH130" s="201"/>
      <c r="CI130" s="201"/>
      <c r="CJ130" s="201"/>
      <c r="CK130" s="201"/>
      <c r="CL130" s="201"/>
      <c r="CM130" s="201"/>
      <c r="CN130" s="201"/>
      <c r="CO130" s="201"/>
      <c r="CP130" s="201"/>
      <c r="CQ130" s="201"/>
      <c r="CR130" s="201"/>
      <c r="CS130" s="201"/>
      <c r="CT130" s="201"/>
      <c r="CU130" s="201"/>
      <c r="CV130" s="201"/>
      <c r="CW130" s="201"/>
      <c r="CX130" s="201"/>
      <c r="CY130" s="201"/>
      <c r="CZ130" s="201"/>
      <c r="DA130" s="201"/>
      <c r="DB130" s="201"/>
      <c r="DC130" s="201"/>
      <c r="DD130" s="201"/>
      <c r="DE130" s="201"/>
      <c r="DF130" s="201"/>
      <c r="DG130" s="201"/>
      <c r="DH130" s="201"/>
      <c r="DI130" s="201"/>
      <c r="DJ130" s="201"/>
      <c r="DK130" s="201"/>
      <c r="DL130" s="201"/>
      <c r="DM130" s="201"/>
      <c r="DN130" s="201"/>
      <c r="DO130" s="201"/>
      <c r="DP130" s="201"/>
      <c r="DQ130" s="201"/>
      <c r="DR130" s="201"/>
      <c r="DS130" s="201"/>
      <c r="DT130" s="201"/>
      <c r="DU130" s="201"/>
      <c r="DV130" s="201"/>
      <c r="DW130" s="201"/>
      <c r="DX130" s="201"/>
      <c r="DY130" s="201"/>
      <c r="DZ130" s="201"/>
      <c r="EA130" s="201"/>
      <c r="EB130" s="201"/>
      <c r="EC130" s="201"/>
      <c r="ED130" s="201"/>
      <c r="EE130" s="201"/>
      <c r="EF130" s="201"/>
      <c r="EG130" s="201"/>
      <c r="EH130" s="201"/>
      <c r="EI130" s="201"/>
      <c r="EJ130" s="201"/>
      <c r="EK130" s="201"/>
      <c r="EL130" s="201"/>
      <c r="EM130" s="201"/>
      <c r="EN130" s="201"/>
      <c r="EO130" s="201"/>
      <c r="EP130" s="201"/>
      <c r="EQ130" s="201"/>
      <c r="ER130" s="201"/>
      <c r="ES130" s="201"/>
    </row>
    <row r="131" spans="17:149" s="146" customFormat="1">
      <c r="Q131" s="145"/>
      <c r="R131" s="145"/>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1"/>
      <c r="BX131" s="201"/>
      <c r="BY131" s="201"/>
      <c r="BZ131" s="201"/>
      <c r="CA131" s="201"/>
      <c r="CB131" s="201"/>
      <c r="CC131" s="201"/>
      <c r="CD131" s="201"/>
      <c r="CE131" s="201"/>
      <c r="CF131" s="201"/>
      <c r="CG131" s="201"/>
      <c r="CH131" s="201"/>
      <c r="CI131" s="201"/>
      <c r="CJ131" s="201"/>
      <c r="CK131" s="201"/>
      <c r="CL131" s="201"/>
      <c r="CM131" s="201"/>
      <c r="CN131" s="201"/>
      <c r="CO131" s="201"/>
      <c r="CP131" s="201"/>
      <c r="CQ131" s="201"/>
      <c r="CR131" s="201"/>
      <c r="CS131" s="201"/>
      <c r="CT131" s="201"/>
      <c r="CU131" s="201"/>
      <c r="CV131" s="201"/>
      <c r="CW131" s="201"/>
      <c r="CX131" s="201"/>
      <c r="CY131" s="201"/>
      <c r="CZ131" s="201"/>
      <c r="DA131" s="201"/>
      <c r="DB131" s="201"/>
      <c r="DC131" s="201"/>
      <c r="DD131" s="201"/>
      <c r="DE131" s="201"/>
      <c r="DF131" s="201"/>
      <c r="DG131" s="201"/>
      <c r="DH131" s="201"/>
      <c r="DI131" s="201"/>
      <c r="DJ131" s="201"/>
      <c r="DK131" s="201"/>
      <c r="DL131" s="201"/>
      <c r="DM131" s="201"/>
      <c r="DN131" s="201"/>
      <c r="DO131" s="201"/>
      <c r="DP131" s="201"/>
      <c r="DQ131" s="201"/>
      <c r="DR131" s="201"/>
      <c r="DS131" s="201"/>
      <c r="DT131" s="201"/>
      <c r="DU131" s="201"/>
      <c r="DV131" s="201"/>
      <c r="DW131" s="201"/>
      <c r="DX131" s="201"/>
      <c r="DY131" s="201"/>
      <c r="DZ131" s="201"/>
      <c r="EA131" s="201"/>
      <c r="EB131" s="201"/>
      <c r="EC131" s="201"/>
      <c r="ED131" s="201"/>
      <c r="EE131" s="201"/>
      <c r="EF131" s="201"/>
      <c r="EG131" s="201"/>
      <c r="EH131" s="201"/>
      <c r="EI131" s="201"/>
      <c r="EJ131" s="201"/>
      <c r="EK131" s="201"/>
      <c r="EL131" s="201"/>
      <c r="EM131" s="201"/>
      <c r="EN131" s="201"/>
      <c r="EO131" s="201"/>
      <c r="EP131" s="201"/>
      <c r="EQ131" s="201"/>
      <c r="ER131" s="201"/>
      <c r="ES131" s="201"/>
    </row>
    <row r="132" spans="17:149" s="146" customFormat="1">
      <c r="Q132" s="145"/>
      <c r="R132" s="145"/>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201"/>
      <c r="BY132" s="201"/>
      <c r="BZ132" s="201"/>
      <c r="CA132" s="201"/>
      <c r="CB132" s="201"/>
      <c r="CC132" s="201"/>
      <c r="CD132" s="201"/>
      <c r="CE132" s="201"/>
      <c r="CF132" s="201"/>
      <c r="CG132" s="201"/>
      <c r="CH132" s="201"/>
      <c r="CI132" s="201"/>
      <c r="CJ132" s="201"/>
      <c r="CK132" s="201"/>
      <c r="CL132" s="201"/>
      <c r="CM132" s="201"/>
      <c r="CN132" s="201"/>
      <c r="CO132" s="201"/>
      <c r="CP132" s="201"/>
      <c r="CQ132" s="201"/>
      <c r="CR132" s="201"/>
      <c r="CS132" s="201"/>
      <c r="CT132" s="201"/>
      <c r="CU132" s="201"/>
      <c r="CV132" s="201"/>
      <c r="CW132" s="201"/>
      <c r="CX132" s="201"/>
      <c r="CY132" s="201"/>
      <c r="CZ132" s="201"/>
      <c r="DA132" s="201"/>
      <c r="DB132" s="201"/>
      <c r="DC132" s="201"/>
      <c r="DD132" s="201"/>
      <c r="DE132" s="201"/>
      <c r="DF132" s="201"/>
      <c r="DG132" s="201"/>
      <c r="DH132" s="201"/>
      <c r="DI132" s="201"/>
      <c r="DJ132" s="201"/>
      <c r="DK132" s="201"/>
      <c r="DL132" s="201"/>
      <c r="DM132" s="201"/>
      <c r="DN132" s="201"/>
      <c r="DO132" s="201"/>
      <c r="DP132" s="201"/>
      <c r="DQ132" s="201"/>
      <c r="DR132" s="201"/>
      <c r="DS132" s="201"/>
      <c r="DT132" s="201"/>
      <c r="DU132" s="201"/>
      <c r="DV132" s="201"/>
      <c r="DW132" s="201"/>
      <c r="DX132" s="201"/>
      <c r="DY132" s="201"/>
      <c r="DZ132" s="201"/>
      <c r="EA132" s="201"/>
      <c r="EB132" s="201"/>
      <c r="EC132" s="201"/>
      <c r="ED132" s="201"/>
      <c r="EE132" s="201"/>
      <c r="EF132" s="201"/>
      <c r="EG132" s="201"/>
      <c r="EH132" s="201"/>
      <c r="EI132" s="201"/>
      <c r="EJ132" s="201"/>
      <c r="EK132" s="201"/>
      <c r="EL132" s="201"/>
      <c r="EM132" s="201"/>
      <c r="EN132" s="201"/>
      <c r="EO132" s="201"/>
      <c r="EP132" s="201"/>
      <c r="EQ132" s="201"/>
      <c r="ER132" s="201"/>
      <c r="ES132" s="201"/>
    </row>
    <row r="133" spans="17:149" s="146" customFormat="1">
      <c r="Q133" s="145"/>
      <c r="R133" s="145"/>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c r="BY133" s="201"/>
      <c r="BZ133" s="201"/>
      <c r="CA133" s="201"/>
      <c r="CB133" s="201"/>
      <c r="CC133" s="201"/>
      <c r="CD133" s="201"/>
      <c r="CE133" s="201"/>
      <c r="CF133" s="201"/>
      <c r="CG133" s="201"/>
      <c r="CH133" s="201"/>
      <c r="CI133" s="201"/>
      <c r="CJ133" s="201"/>
      <c r="CK133" s="201"/>
      <c r="CL133" s="201"/>
      <c r="CM133" s="201"/>
      <c r="CN133" s="201"/>
      <c r="CO133" s="201"/>
      <c r="CP133" s="201"/>
      <c r="CQ133" s="201"/>
      <c r="CR133" s="201"/>
      <c r="CS133" s="201"/>
      <c r="CT133" s="201"/>
      <c r="CU133" s="201"/>
      <c r="CV133" s="201"/>
      <c r="CW133" s="201"/>
      <c r="CX133" s="201"/>
      <c r="CY133" s="201"/>
      <c r="CZ133" s="201"/>
      <c r="DA133" s="201"/>
      <c r="DB133" s="201"/>
      <c r="DC133" s="201"/>
      <c r="DD133" s="201"/>
      <c r="DE133" s="201"/>
      <c r="DF133" s="201"/>
      <c r="DG133" s="201"/>
      <c r="DH133" s="201"/>
      <c r="DI133" s="201"/>
      <c r="DJ133" s="201"/>
      <c r="DK133" s="201"/>
      <c r="DL133" s="201"/>
      <c r="DM133" s="201"/>
      <c r="DN133" s="201"/>
      <c r="DO133" s="201"/>
      <c r="DP133" s="201"/>
      <c r="DQ133" s="201"/>
      <c r="DR133" s="201"/>
      <c r="DS133" s="201"/>
      <c r="DT133" s="201"/>
      <c r="DU133" s="201"/>
      <c r="DV133" s="201"/>
      <c r="DW133" s="201"/>
      <c r="DX133" s="201"/>
      <c r="DY133" s="201"/>
      <c r="DZ133" s="201"/>
      <c r="EA133" s="201"/>
      <c r="EB133" s="201"/>
      <c r="EC133" s="201"/>
      <c r="ED133" s="201"/>
      <c r="EE133" s="201"/>
      <c r="EF133" s="201"/>
      <c r="EG133" s="201"/>
      <c r="EH133" s="201"/>
      <c r="EI133" s="201"/>
      <c r="EJ133" s="201"/>
      <c r="EK133" s="201"/>
      <c r="EL133" s="201"/>
      <c r="EM133" s="201"/>
      <c r="EN133" s="201"/>
      <c r="EO133" s="201"/>
      <c r="EP133" s="201"/>
      <c r="EQ133" s="201"/>
      <c r="ER133" s="201"/>
      <c r="ES133" s="201"/>
    </row>
    <row r="134" spans="17:149" s="146" customFormat="1">
      <c r="Q134" s="145"/>
      <c r="R134" s="145"/>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201"/>
      <c r="BY134" s="201"/>
      <c r="BZ134" s="201"/>
      <c r="CA134" s="201"/>
      <c r="CB134" s="201"/>
      <c r="CC134" s="201"/>
      <c r="CD134" s="201"/>
      <c r="CE134" s="201"/>
      <c r="CF134" s="201"/>
      <c r="CG134" s="201"/>
      <c r="CH134" s="201"/>
      <c r="CI134" s="201"/>
      <c r="CJ134" s="201"/>
      <c r="CK134" s="201"/>
      <c r="CL134" s="201"/>
      <c r="CM134" s="201"/>
      <c r="CN134" s="201"/>
      <c r="CO134" s="201"/>
      <c r="CP134" s="201"/>
      <c r="CQ134" s="201"/>
      <c r="CR134" s="201"/>
      <c r="CS134" s="201"/>
      <c r="CT134" s="201"/>
      <c r="CU134" s="201"/>
      <c r="CV134" s="201"/>
      <c r="CW134" s="201"/>
      <c r="CX134" s="201"/>
      <c r="CY134" s="201"/>
      <c r="CZ134" s="201"/>
      <c r="DA134" s="201"/>
      <c r="DB134" s="201"/>
      <c r="DC134" s="201"/>
      <c r="DD134" s="201"/>
      <c r="DE134" s="201"/>
      <c r="DF134" s="201"/>
      <c r="DG134" s="201"/>
      <c r="DH134" s="201"/>
      <c r="DI134" s="201"/>
      <c r="DJ134" s="201"/>
      <c r="DK134" s="201"/>
      <c r="DL134" s="201"/>
      <c r="DM134" s="201"/>
      <c r="DN134" s="201"/>
      <c r="DO134" s="201"/>
      <c r="DP134" s="201"/>
      <c r="DQ134" s="201"/>
      <c r="DR134" s="201"/>
      <c r="DS134" s="201"/>
      <c r="DT134" s="201"/>
      <c r="DU134" s="201"/>
      <c r="DV134" s="201"/>
      <c r="DW134" s="201"/>
      <c r="DX134" s="201"/>
      <c r="DY134" s="201"/>
      <c r="DZ134" s="201"/>
      <c r="EA134" s="201"/>
      <c r="EB134" s="201"/>
      <c r="EC134" s="201"/>
      <c r="ED134" s="201"/>
      <c r="EE134" s="201"/>
      <c r="EF134" s="201"/>
      <c r="EG134" s="201"/>
      <c r="EH134" s="201"/>
      <c r="EI134" s="201"/>
      <c r="EJ134" s="201"/>
      <c r="EK134" s="201"/>
      <c r="EL134" s="201"/>
      <c r="EM134" s="201"/>
      <c r="EN134" s="201"/>
      <c r="EO134" s="201"/>
      <c r="EP134" s="201"/>
      <c r="EQ134" s="201"/>
      <c r="ER134" s="201"/>
      <c r="ES134" s="201"/>
    </row>
    <row r="135" spans="17:149" s="146" customFormat="1">
      <c r="Q135" s="145"/>
      <c r="R135" s="145"/>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c r="BY135" s="201"/>
      <c r="BZ135" s="201"/>
      <c r="CA135" s="201"/>
      <c r="CB135" s="201"/>
      <c r="CC135" s="201"/>
      <c r="CD135" s="201"/>
      <c r="CE135" s="201"/>
      <c r="CF135" s="201"/>
      <c r="CG135" s="201"/>
      <c r="CH135" s="201"/>
      <c r="CI135" s="201"/>
      <c r="CJ135" s="201"/>
      <c r="CK135" s="201"/>
      <c r="CL135" s="201"/>
      <c r="CM135" s="201"/>
      <c r="CN135" s="201"/>
      <c r="CO135" s="201"/>
      <c r="CP135" s="201"/>
      <c r="CQ135" s="201"/>
      <c r="CR135" s="201"/>
      <c r="CS135" s="201"/>
      <c r="CT135" s="201"/>
      <c r="CU135" s="201"/>
      <c r="CV135" s="201"/>
      <c r="CW135" s="201"/>
      <c r="CX135" s="201"/>
      <c r="CY135" s="201"/>
      <c r="CZ135" s="201"/>
      <c r="DA135" s="201"/>
      <c r="DB135" s="201"/>
      <c r="DC135" s="201"/>
      <c r="DD135" s="201"/>
      <c r="DE135" s="201"/>
      <c r="DF135" s="201"/>
      <c r="DG135" s="201"/>
      <c r="DH135" s="201"/>
      <c r="DI135" s="201"/>
      <c r="DJ135" s="201"/>
      <c r="DK135" s="201"/>
      <c r="DL135" s="201"/>
      <c r="DM135" s="201"/>
      <c r="DN135" s="201"/>
      <c r="DO135" s="201"/>
      <c r="DP135" s="201"/>
      <c r="DQ135" s="201"/>
      <c r="DR135" s="201"/>
      <c r="DS135" s="201"/>
      <c r="DT135" s="201"/>
      <c r="DU135" s="201"/>
      <c r="DV135" s="201"/>
      <c r="DW135" s="201"/>
      <c r="DX135" s="201"/>
      <c r="DY135" s="201"/>
      <c r="DZ135" s="201"/>
      <c r="EA135" s="201"/>
      <c r="EB135" s="201"/>
      <c r="EC135" s="201"/>
      <c r="ED135" s="201"/>
      <c r="EE135" s="201"/>
      <c r="EF135" s="201"/>
      <c r="EG135" s="201"/>
      <c r="EH135" s="201"/>
      <c r="EI135" s="201"/>
      <c r="EJ135" s="201"/>
      <c r="EK135" s="201"/>
      <c r="EL135" s="201"/>
      <c r="EM135" s="201"/>
      <c r="EN135" s="201"/>
      <c r="EO135" s="201"/>
      <c r="EP135" s="201"/>
      <c r="EQ135" s="201"/>
      <c r="ER135" s="201"/>
      <c r="ES135" s="201"/>
    </row>
    <row r="136" spans="17:149" s="146" customFormat="1">
      <c r="Q136" s="145"/>
      <c r="R136" s="145"/>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c r="BY136" s="201"/>
      <c r="BZ136" s="201"/>
      <c r="CA136" s="201"/>
      <c r="CB136" s="201"/>
      <c r="CC136" s="201"/>
      <c r="CD136" s="201"/>
      <c r="CE136" s="201"/>
      <c r="CF136" s="201"/>
      <c r="CG136" s="201"/>
      <c r="CH136" s="201"/>
      <c r="CI136" s="201"/>
      <c r="CJ136" s="201"/>
      <c r="CK136" s="201"/>
      <c r="CL136" s="201"/>
      <c r="CM136" s="201"/>
      <c r="CN136" s="201"/>
      <c r="CO136" s="201"/>
      <c r="CP136" s="201"/>
      <c r="CQ136" s="201"/>
      <c r="CR136" s="201"/>
      <c r="CS136" s="201"/>
      <c r="CT136" s="201"/>
      <c r="CU136" s="201"/>
      <c r="CV136" s="201"/>
      <c r="CW136" s="201"/>
      <c r="CX136" s="201"/>
      <c r="CY136" s="201"/>
      <c r="CZ136" s="201"/>
      <c r="DA136" s="201"/>
      <c r="DB136" s="201"/>
      <c r="DC136" s="201"/>
      <c r="DD136" s="201"/>
      <c r="DE136" s="201"/>
      <c r="DF136" s="201"/>
      <c r="DG136" s="201"/>
      <c r="DH136" s="201"/>
      <c r="DI136" s="201"/>
      <c r="DJ136" s="201"/>
      <c r="DK136" s="201"/>
      <c r="DL136" s="201"/>
      <c r="DM136" s="201"/>
      <c r="DN136" s="201"/>
      <c r="DO136" s="201"/>
      <c r="DP136" s="201"/>
      <c r="DQ136" s="201"/>
      <c r="DR136" s="201"/>
      <c r="DS136" s="201"/>
      <c r="DT136" s="201"/>
      <c r="DU136" s="201"/>
      <c r="DV136" s="201"/>
      <c r="DW136" s="201"/>
      <c r="DX136" s="201"/>
      <c r="DY136" s="201"/>
      <c r="DZ136" s="201"/>
      <c r="EA136" s="201"/>
      <c r="EB136" s="201"/>
      <c r="EC136" s="201"/>
      <c r="ED136" s="201"/>
      <c r="EE136" s="201"/>
      <c r="EF136" s="201"/>
      <c r="EG136" s="201"/>
      <c r="EH136" s="201"/>
      <c r="EI136" s="201"/>
      <c r="EJ136" s="201"/>
      <c r="EK136" s="201"/>
      <c r="EL136" s="201"/>
      <c r="EM136" s="201"/>
      <c r="EN136" s="201"/>
      <c r="EO136" s="201"/>
      <c r="EP136" s="201"/>
      <c r="EQ136" s="201"/>
      <c r="ER136" s="201"/>
      <c r="ES136" s="201"/>
    </row>
    <row r="137" spans="17:149" s="146" customFormat="1">
      <c r="Q137" s="145"/>
      <c r="R137" s="145"/>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201"/>
      <c r="BY137" s="201"/>
      <c r="BZ137" s="201"/>
      <c r="CA137" s="201"/>
      <c r="CB137" s="201"/>
      <c r="CC137" s="201"/>
      <c r="CD137" s="201"/>
      <c r="CE137" s="201"/>
      <c r="CF137" s="201"/>
      <c r="CG137" s="201"/>
      <c r="CH137" s="201"/>
      <c r="CI137" s="201"/>
      <c r="CJ137" s="201"/>
      <c r="CK137" s="201"/>
      <c r="CL137" s="201"/>
      <c r="CM137" s="201"/>
      <c r="CN137" s="201"/>
      <c r="CO137" s="201"/>
      <c r="CP137" s="201"/>
      <c r="CQ137" s="201"/>
      <c r="CR137" s="201"/>
      <c r="CS137" s="201"/>
      <c r="CT137" s="201"/>
      <c r="CU137" s="201"/>
      <c r="CV137" s="201"/>
      <c r="CW137" s="201"/>
      <c r="CX137" s="201"/>
      <c r="CY137" s="201"/>
      <c r="CZ137" s="201"/>
      <c r="DA137" s="201"/>
      <c r="DB137" s="201"/>
      <c r="DC137" s="201"/>
      <c r="DD137" s="201"/>
      <c r="DE137" s="201"/>
      <c r="DF137" s="201"/>
      <c r="DG137" s="201"/>
      <c r="DH137" s="201"/>
      <c r="DI137" s="201"/>
      <c r="DJ137" s="201"/>
      <c r="DK137" s="201"/>
      <c r="DL137" s="201"/>
      <c r="DM137" s="201"/>
      <c r="DN137" s="201"/>
      <c r="DO137" s="201"/>
      <c r="DP137" s="201"/>
      <c r="DQ137" s="201"/>
      <c r="DR137" s="201"/>
      <c r="DS137" s="201"/>
      <c r="DT137" s="201"/>
      <c r="DU137" s="201"/>
      <c r="DV137" s="201"/>
      <c r="DW137" s="201"/>
      <c r="DX137" s="201"/>
      <c r="DY137" s="201"/>
      <c r="DZ137" s="201"/>
      <c r="EA137" s="201"/>
      <c r="EB137" s="201"/>
      <c r="EC137" s="201"/>
      <c r="ED137" s="201"/>
      <c r="EE137" s="201"/>
      <c r="EF137" s="201"/>
      <c r="EG137" s="201"/>
      <c r="EH137" s="201"/>
      <c r="EI137" s="201"/>
      <c r="EJ137" s="201"/>
      <c r="EK137" s="201"/>
      <c r="EL137" s="201"/>
      <c r="EM137" s="201"/>
      <c r="EN137" s="201"/>
      <c r="EO137" s="201"/>
      <c r="EP137" s="201"/>
      <c r="EQ137" s="201"/>
      <c r="ER137" s="201"/>
      <c r="ES137" s="201"/>
    </row>
    <row r="138" spans="17:149" s="146" customFormat="1">
      <c r="Q138" s="145"/>
      <c r="R138" s="145"/>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1"/>
      <c r="BX138" s="201"/>
      <c r="BY138" s="201"/>
      <c r="BZ138" s="201"/>
      <c r="CA138" s="201"/>
      <c r="CB138" s="201"/>
      <c r="CC138" s="201"/>
      <c r="CD138" s="201"/>
      <c r="CE138" s="201"/>
      <c r="CF138" s="201"/>
      <c r="CG138" s="201"/>
      <c r="CH138" s="201"/>
      <c r="CI138" s="201"/>
      <c r="CJ138" s="201"/>
      <c r="CK138" s="201"/>
      <c r="CL138" s="201"/>
      <c r="CM138" s="201"/>
      <c r="CN138" s="201"/>
      <c r="CO138" s="201"/>
      <c r="CP138" s="201"/>
      <c r="CQ138" s="201"/>
      <c r="CR138" s="201"/>
      <c r="CS138" s="201"/>
      <c r="CT138" s="201"/>
      <c r="CU138" s="201"/>
      <c r="CV138" s="201"/>
      <c r="CW138" s="201"/>
      <c r="CX138" s="201"/>
      <c r="CY138" s="201"/>
      <c r="CZ138" s="201"/>
      <c r="DA138" s="201"/>
      <c r="DB138" s="201"/>
      <c r="DC138" s="201"/>
      <c r="DD138" s="201"/>
      <c r="DE138" s="201"/>
      <c r="DF138" s="201"/>
      <c r="DG138" s="201"/>
      <c r="DH138" s="201"/>
      <c r="DI138" s="201"/>
      <c r="DJ138" s="201"/>
      <c r="DK138" s="201"/>
      <c r="DL138" s="201"/>
      <c r="DM138" s="201"/>
      <c r="DN138" s="201"/>
      <c r="DO138" s="201"/>
      <c r="DP138" s="201"/>
      <c r="DQ138" s="201"/>
      <c r="DR138" s="201"/>
      <c r="DS138" s="201"/>
      <c r="DT138" s="201"/>
      <c r="DU138" s="201"/>
      <c r="DV138" s="201"/>
      <c r="DW138" s="201"/>
      <c r="DX138" s="201"/>
      <c r="DY138" s="201"/>
      <c r="DZ138" s="201"/>
      <c r="EA138" s="201"/>
      <c r="EB138" s="201"/>
      <c r="EC138" s="201"/>
      <c r="ED138" s="201"/>
      <c r="EE138" s="201"/>
      <c r="EF138" s="201"/>
      <c r="EG138" s="201"/>
      <c r="EH138" s="201"/>
      <c r="EI138" s="201"/>
      <c r="EJ138" s="201"/>
      <c r="EK138" s="201"/>
      <c r="EL138" s="201"/>
      <c r="EM138" s="201"/>
      <c r="EN138" s="201"/>
      <c r="EO138" s="201"/>
      <c r="EP138" s="201"/>
      <c r="EQ138" s="201"/>
      <c r="ER138" s="201"/>
      <c r="ES138" s="201"/>
    </row>
    <row r="139" spans="17:149" s="146" customFormat="1">
      <c r="Q139" s="145"/>
      <c r="R139" s="145"/>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c r="BY139" s="201"/>
      <c r="BZ139" s="201"/>
      <c r="CA139" s="201"/>
      <c r="CB139" s="201"/>
      <c r="CC139" s="201"/>
      <c r="CD139" s="201"/>
      <c r="CE139" s="201"/>
      <c r="CF139" s="201"/>
      <c r="CG139" s="201"/>
      <c r="CH139" s="201"/>
      <c r="CI139" s="201"/>
      <c r="CJ139" s="201"/>
      <c r="CK139" s="201"/>
      <c r="CL139" s="201"/>
      <c r="CM139" s="201"/>
      <c r="CN139" s="201"/>
      <c r="CO139" s="201"/>
      <c r="CP139" s="201"/>
      <c r="CQ139" s="201"/>
      <c r="CR139" s="201"/>
      <c r="CS139" s="201"/>
      <c r="CT139" s="201"/>
      <c r="CU139" s="201"/>
      <c r="CV139" s="201"/>
      <c r="CW139" s="201"/>
      <c r="CX139" s="201"/>
      <c r="CY139" s="201"/>
      <c r="CZ139" s="201"/>
      <c r="DA139" s="201"/>
      <c r="DB139" s="201"/>
      <c r="DC139" s="201"/>
      <c r="DD139" s="201"/>
      <c r="DE139" s="201"/>
      <c r="DF139" s="201"/>
      <c r="DG139" s="201"/>
      <c r="DH139" s="201"/>
      <c r="DI139" s="201"/>
      <c r="DJ139" s="201"/>
      <c r="DK139" s="201"/>
      <c r="DL139" s="201"/>
      <c r="DM139" s="201"/>
      <c r="DN139" s="201"/>
      <c r="DO139" s="201"/>
      <c r="DP139" s="201"/>
      <c r="DQ139" s="201"/>
      <c r="DR139" s="201"/>
      <c r="DS139" s="201"/>
      <c r="DT139" s="201"/>
      <c r="DU139" s="201"/>
      <c r="DV139" s="201"/>
      <c r="DW139" s="201"/>
      <c r="DX139" s="201"/>
      <c r="DY139" s="201"/>
      <c r="DZ139" s="201"/>
      <c r="EA139" s="201"/>
      <c r="EB139" s="201"/>
      <c r="EC139" s="201"/>
      <c r="ED139" s="201"/>
      <c r="EE139" s="201"/>
      <c r="EF139" s="201"/>
      <c r="EG139" s="201"/>
      <c r="EH139" s="201"/>
      <c r="EI139" s="201"/>
      <c r="EJ139" s="201"/>
      <c r="EK139" s="201"/>
      <c r="EL139" s="201"/>
      <c r="EM139" s="201"/>
      <c r="EN139" s="201"/>
      <c r="EO139" s="201"/>
      <c r="EP139" s="201"/>
      <c r="EQ139" s="201"/>
      <c r="ER139" s="201"/>
      <c r="ES139" s="201"/>
    </row>
    <row r="140" spans="17:149" s="146" customFormat="1">
      <c r="Q140" s="145"/>
      <c r="R140" s="145"/>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c r="CD140" s="201"/>
      <c r="CE140" s="201"/>
      <c r="CF140" s="201"/>
      <c r="CG140" s="201"/>
      <c r="CH140" s="201"/>
      <c r="CI140" s="201"/>
      <c r="CJ140" s="201"/>
      <c r="CK140" s="201"/>
      <c r="CL140" s="201"/>
      <c r="CM140" s="201"/>
      <c r="CN140" s="201"/>
      <c r="CO140" s="201"/>
      <c r="CP140" s="201"/>
      <c r="CQ140" s="201"/>
      <c r="CR140" s="201"/>
      <c r="CS140" s="201"/>
      <c r="CT140" s="201"/>
      <c r="CU140" s="201"/>
      <c r="CV140" s="201"/>
      <c r="CW140" s="201"/>
      <c r="CX140" s="201"/>
      <c r="CY140" s="201"/>
      <c r="CZ140" s="201"/>
      <c r="DA140" s="201"/>
      <c r="DB140" s="201"/>
      <c r="DC140" s="201"/>
      <c r="DD140" s="201"/>
      <c r="DE140" s="201"/>
      <c r="DF140" s="201"/>
      <c r="DG140" s="201"/>
      <c r="DH140" s="201"/>
      <c r="DI140" s="201"/>
      <c r="DJ140" s="201"/>
      <c r="DK140" s="201"/>
      <c r="DL140" s="201"/>
      <c r="DM140" s="201"/>
      <c r="DN140" s="201"/>
      <c r="DO140" s="201"/>
      <c r="DP140" s="201"/>
      <c r="DQ140" s="201"/>
      <c r="DR140" s="201"/>
      <c r="DS140" s="201"/>
      <c r="DT140" s="201"/>
      <c r="DU140" s="201"/>
      <c r="DV140" s="201"/>
      <c r="DW140" s="201"/>
      <c r="DX140" s="201"/>
      <c r="DY140" s="201"/>
      <c r="DZ140" s="201"/>
      <c r="EA140" s="201"/>
      <c r="EB140" s="201"/>
      <c r="EC140" s="201"/>
      <c r="ED140" s="201"/>
      <c r="EE140" s="201"/>
      <c r="EF140" s="201"/>
      <c r="EG140" s="201"/>
      <c r="EH140" s="201"/>
      <c r="EI140" s="201"/>
      <c r="EJ140" s="201"/>
      <c r="EK140" s="201"/>
      <c r="EL140" s="201"/>
      <c r="EM140" s="201"/>
      <c r="EN140" s="201"/>
      <c r="EO140" s="201"/>
      <c r="EP140" s="201"/>
      <c r="EQ140" s="201"/>
      <c r="ER140" s="201"/>
      <c r="ES140" s="201"/>
    </row>
    <row r="141" spans="17:149" s="146" customFormat="1">
      <c r="Q141" s="145"/>
      <c r="R141" s="145"/>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c r="CD141" s="201"/>
      <c r="CE141" s="201"/>
      <c r="CF141" s="201"/>
      <c r="CG141" s="201"/>
      <c r="CH141" s="201"/>
      <c r="CI141" s="201"/>
      <c r="CJ141" s="201"/>
      <c r="CK141" s="201"/>
      <c r="CL141" s="201"/>
      <c r="CM141" s="201"/>
      <c r="CN141" s="201"/>
      <c r="CO141" s="201"/>
      <c r="CP141" s="201"/>
      <c r="CQ141" s="201"/>
      <c r="CR141" s="201"/>
      <c r="CS141" s="201"/>
      <c r="CT141" s="201"/>
      <c r="CU141" s="201"/>
      <c r="CV141" s="201"/>
      <c r="CW141" s="201"/>
      <c r="CX141" s="201"/>
      <c r="CY141" s="201"/>
      <c r="CZ141" s="201"/>
      <c r="DA141" s="201"/>
      <c r="DB141" s="201"/>
      <c r="DC141" s="201"/>
      <c r="DD141" s="201"/>
      <c r="DE141" s="201"/>
      <c r="DF141" s="201"/>
      <c r="DG141" s="201"/>
      <c r="DH141" s="201"/>
      <c r="DI141" s="201"/>
      <c r="DJ141" s="201"/>
      <c r="DK141" s="201"/>
      <c r="DL141" s="201"/>
      <c r="DM141" s="201"/>
      <c r="DN141" s="201"/>
      <c r="DO141" s="201"/>
      <c r="DP141" s="201"/>
      <c r="DQ141" s="201"/>
      <c r="DR141" s="201"/>
      <c r="DS141" s="201"/>
      <c r="DT141" s="201"/>
      <c r="DU141" s="201"/>
      <c r="DV141" s="201"/>
      <c r="DW141" s="201"/>
      <c r="DX141" s="201"/>
      <c r="DY141" s="201"/>
      <c r="DZ141" s="201"/>
      <c r="EA141" s="201"/>
      <c r="EB141" s="201"/>
      <c r="EC141" s="201"/>
      <c r="ED141" s="201"/>
      <c r="EE141" s="201"/>
      <c r="EF141" s="201"/>
      <c r="EG141" s="201"/>
      <c r="EH141" s="201"/>
      <c r="EI141" s="201"/>
      <c r="EJ141" s="201"/>
      <c r="EK141" s="201"/>
      <c r="EL141" s="201"/>
      <c r="EM141" s="201"/>
      <c r="EN141" s="201"/>
      <c r="EO141" s="201"/>
      <c r="EP141" s="201"/>
      <c r="EQ141" s="201"/>
      <c r="ER141" s="201"/>
      <c r="ES141" s="201"/>
    </row>
    <row r="142" spans="17:149" s="146" customFormat="1">
      <c r="Q142" s="145"/>
      <c r="R142" s="145"/>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c r="CD142" s="201"/>
      <c r="CE142" s="201"/>
      <c r="CF142" s="201"/>
      <c r="CG142" s="201"/>
      <c r="CH142" s="201"/>
      <c r="CI142" s="201"/>
      <c r="CJ142" s="201"/>
      <c r="CK142" s="201"/>
      <c r="CL142" s="201"/>
      <c r="CM142" s="201"/>
      <c r="CN142" s="201"/>
      <c r="CO142" s="201"/>
      <c r="CP142" s="201"/>
      <c r="CQ142" s="201"/>
      <c r="CR142" s="201"/>
      <c r="CS142" s="201"/>
      <c r="CT142" s="201"/>
      <c r="CU142" s="201"/>
      <c r="CV142" s="201"/>
      <c r="CW142" s="201"/>
      <c r="CX142" s="201"/>
      <c r="CY142" s="201"/>
      <c r="CZ142" s="201"/>
      <c r="DA142" s="201"/>
      <c r="DB142" s="201"/>
      <c r="DC142" s="201"/>
      <c r="DD142" s="201"/>
      <c r="DE142" s="201"/>
      <c r="DF142" s="201"/>
      <c r="DG142" s="201"/>
      <c r="DH142" s="201"/>
      <c r="DI142" s="201"/>
      <c r="DJ142" s="201"/>
      <c r="DK142" s="201"/>
      <c r="DL142" s="201"/>
      <c r="DM142" s="201"/>
      <c r="DN142" s="201"/>
      <c r="DO142" s="201"/>
      <c r="DP142" s="201"/>
      <c r="DQ142" s="201"/>
      <c r="DR142" s="201"/>
      <c r="DS142" s="201"/>
      <c r="DT142" s="201"/>
      <c r="DU142" s="201"/>
      <c r="DV142" s="201"/>
      <c r="DW142" s="201"/>
      <c r="DX142" s="201"/>
      <c r="DY142" s="201"/>
      <c r="DZ142" s="201"/>
      <c r="EA142" s="201"/>
      <c r="EB142" s="201"/>
      <c r="EC142" s="201"/>
      <c r="ED142" s="201"/>
      <c r="EE142" s="201"/>
      <c r="EF142" s="201"/>
      <c r="EG142" s="201"/>
      <c r="EH142" s="201"/>
      <c r="EI142" s="201"/>
      <c r="EJ142" s="201"/>
      <c r="EK142" s="201"/>
      <c r="EL142" s="201"/>
      <c r="EM142" s="201"/>
      <c r="EN142" s="201"/>
      <c r="EO142" s="201"/>
      <c r="EP142" s="201"/>
      <c r="EQ142" s="201"/>
      <c r="ER142" s="201"/>
      <c r="ES142" s="201"/>
    </row>
    <row r="143" spans="17:149" s="146" customFormat="1">
      <c r="Q143" s="145"/>
      <c r="R143" s="145"/>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01"/>
      <c r="CT143" s="201"/>
      <c r="CU143" s="201"/>
      <c r="CV143" s="201"/>
      <c r="CW143" s="201"/>
      <c r="CX143" s="201"/>
      <c r="CY143" s="201"/>
      <c r="CZ143" s="201"/>
      <c r="DA143" s="201"/>
      <c r="DB143" s="201"/>
      <c r="DC143" s="201"/>
      <c r="DD143" s="201"/>
      <c r="DE143" s="201"/>
      <c r="DF143" s="201"/>
      <c r="DG143" s="201"/>
      <c r="DH143" s="201"/>
      <c r="DI143" s="201"/>
      <c r="DJ143" s="201"/>
      <c r="DK143" s="201"/>
      <c r="DL143" s="201"/>
      <c r="DM143" s="201"/>
      <c r="DN143" s="201"/>
      <c r="DO143" s="201"/>
      <c r="DP143" s="201"/>
      <c r="DQ143" s="201"/>
      <c r="DR143" s="201"/>
      <c r="DS143" s="201"/>
      <c r="DT143" s="201"/>
      <c r="DU143" s="201"/>
      <c r="DV143" s="201"/>
      <c r="DW143" s="201"/>
      <c r="DX143" s="201"/>
      <c r="DY143" s="201"/>
      <c r="DZ143" s="201"/>
      <c r="EA143" s="201"/>
      <c r="EB143" s="201"/>
      <c r="EC143" s="201"/>
      <c r="ED143" s="201"/>
      <c r="EE143" s="201"/>
      <c r="EF143" s="201"/>
      <c r="EG143" s="201"/>
      <c r="EH143" s="201"/>
      <c r="EI143" s="201"/>
      <c r="EJ143" s="201"/>
      <c r="EK143" s="201"/>
      <c r="EL143" s="201"/>
      <c r="EM143" s="201"/>
      <c r="EN143" s="201"/>
      <c r="EO143" s="201"/>
      <c r="EP143" s="201"/>
      <c r="EQ143" s="201"/>
      <c r="ER143" s="201"/>
      <c r="ES143" s="201"/>
    </row>
    <row r="144" spans="17:149" s="146" customFormat="1">
      <c r="Q144" s="145"/>
      <c r="R144" s="145"/>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201"/>
      <c r="CK144" s="201"/>
      <c r="CL144" s="201"/>
      <c r="CM144" s="201"/>
      <c r="CN144" s="201"/>
      <c r="CO144" s="201"/>
      <c r="CP144" s="201"/>
      <c r="CQ144" s="201"/>
      <c r="CR144" s="201"/>
      <c r="CS144" s="201"/>
      <c r="CT144" s="201"/>
      <c r="CU144" s="201"/>
      <c r="CV144" s="201"/>
      <c r="CW144" s="201"/>
      <c r="CX144" s="201"/>
      <c r="CY144" s="201"/>
      <c r="CZ144" s="201"/>
      <c r="DA144" s="201"/>
      <c r="DB144" s="201"/>
      <c r="DC144" s="201"/>
      <c r="DD144" s="201"/>
      <c r="DE144" s="201"/>
      <c r="DF144" s="201"/>
      <c r="DG144" s="201"/>
      <c r="DH144" s="201"/>
      <c r="DI144" s="201"/>
      <c r="DJ144" s="201"/>
      <c r="DK144" s="201"/>
      <c r="DL144" s="201"/>
      <c r="DM144" s="201"/>
      <c r="DN144" s="201"/>
      <c r="DO144" s="201"/>
      <c r="DP144" s="201"/>
      <c r="DQ144" s="201"/>
      <c r="DR144" s="201"/>
      <c r="DS144" s="201"/>
      <c r="DT144" s="201"/>
      <c r="DU144" s="201"/>
      <c r="DV144" s="201"/>
      <c r="DW144" s="201"/>
      <c r="DX144" s="201"/>
      <c r="DY144" s="201"/>
      <c r="DZ144" s="201"/>
      <c r="EA144" s="201"/>
      <c r="EB144" s="201"/>
      <c r="EC144" s="201"/>
      <c r="ED144" s="201"/>
      <c r="EE144" s="201"/>
      <c r="EF144" s="201"/>
      <c r="EG144" s="201"/>
      <c r="EH144" s="201"/>
      <c r="EI144" s="201"/>
      <c r="EJ144" s="201"/>
      <c r="EK144" s="201"/>
      <c r="EL144" s="201"/>
      <c r="EM144" s="201"/>
      <c r="EN144" s="201"/>
      <c r="EO144" s="201"/>
      <c r="EP144" s="201"/>
      <c r="EQ144" s="201"/>
      <c r="ER144" s="201"/>
      <c r="ES144" s="201"/>
    </row>
    <row r="145" spans="17:149" s="146" customFormat="1">
      <c r="Q145" s="145"/>
      <c r="R145" s="145"/>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1"/>
      <c r="CC145" s="201"/>
      <c r="CD145" s="201"/>
      <c r="CE145" s="201"/>
      <c r="CF145" s="201"/>
      <c r="CG145" s="201"/>
      <c r="CH145" s="201"/>
      <c r="CI145" s="201"/>
      <c r="CJ145" s="201"/>
      <c r="CK145" s="201"/>
      <c r="CL145" s="201"/>
      <c r="CM145" s="201"/>
      <c r="CN145" s="201"/>
      <c r="CO145" s="201"/>
      <c r="CP145" s="201"/>
      <c r="CQ145" s="201"/>
      <c r="CR145" s="201"/>
      <c r="CS145" s="201"/>
      <c r="CT145" s="201"/>
      <c r="CU145" s="201"/>
      <c r="CV145" s="201"/>
      <c r="CW145" s="201"/>
      <c r="CX145" s="201"/>
      <c r="CY145" s="201"/>
      <c r="CZ145" s="201"/>
      <c r="DA145" s="201"/>
      <c r="DB145" s="201"/>
      <c r="DC145" s="201"/>
      <c r="DD145" s="201"/>
      <c r="DE145" s="201"/>
      <c r="DF145" s="201"/>
      <c r="DG145" s="201"/>
      <c r="DH145" s="201"/>
      <c r="DI145" s="201"/>
      <c r="DJ145" s="201"/>
      <c r="DK145" s="201"/>
      <c r="DL145" s="201"/>
      <c r="DM145" s="201"/>
      <c r="DN145" s="201"/>
      <c r="DO145" s="201"/>
      <c r="DP145" s="201"/>
      <c r="DQ145" s="201"/>
      <c r="DR145" s="201"/>
      <c r="DS145" s="201"/>
      <c r="DT145" s="201"/>
      <c r="DU145" s="201"/>
      <c r="DV145" s="201"/>
      <c r="DW145" s="201"/>
      <c r="DX145" s="201"/>
      <c r="DY145" s="201"/>
      <c r="DZ145" s="201"/>
      <c r="EA145" s="201"/>
      <c r="EB145" s="201"/>
      <c r="EC145" s="201"/>
      <c r="ED145" s="201"/>
      <c r="EE145" s="201"/>
      <c r="EF145" s="201"/>
      <c r="EG145" s="201"/>
      <c r="EH145" s="201"/>
      <c r="EI145" s="201"/>
      <c r="EJ145" s="201"/>
      <c r="EK145" s="201"/>
      <c r="EL145" s="201"/>
      <c r="EM145" s="201"/>
      <c r="EN145" s="201"/>
      <c r="EO145" s="201"/>
      <c r="EP145" s="201"/>
      <c r="EQ145" s="201"/>
      <c r="ER145" s="201"/>
      <c r="ES145" s="201"/>
    </row>
    <row r="146" spans="17:149" s="146" customFormat="1">
      <c r="Q146" s="145"/>
      <c r="R146" s="145"/>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1"/>
      <c r="CC146" s="201"/>
      <c r="CD146" s="201"/>
      <c r="CE146" s="201"/>
      <c r="CF146" s="201"/>
      <c r="CG146" s="201"/>
      <c r="CH146" s="201"/>
      <c r="CI146" s="201"/>
      <c r="CJ146" s="201"/>
      <c r="CK146" s="201"/>
      <c r="CL146" s="201"/>
      <c r="CM146" s="201"/>
      <c r="CN146" s="201"/>
      <c r="CO146" s="201"/>
      <c r="CP146" s="201"/>
      <c r="CQ146" s="201"/>
      <c r="CR146" s="201"/>
      <c r="CS146" s="201"/>
      <c r="CT146" s="201"/>
      <c r="CU146" s="201"/>
      <c r="CV146" s="201"/>
      <c r="CW146" s="201"/>
      <c r="CX146" s="201"/>
      <c r="CY146" s="201"/>
      <c r="CZ146" s="201"/>
      <c r="DA146" s="201"/>
      <c r="DB146" s="201"/>
      <c r="DC146" s="201"/>
      <c r="DD146" s="201"/>
      <c r="DE146" s="201"/>
      <c r="DF146" s="201"/>
      <c r="DG146" s="201"/>
      <c r="DH146" s="201"/>
      <c r="DI146" s="201"/>
      <c r="DJ146" s="201"/>
      <c r="DK146" s="201"/>
      <c r="DL146" s="201"/>
      <c r="DM146" s="201"/>
      <c r="DN146" s="201"/>
      <c r="DO146" s="201"/>
      <c r="DP146" s="201"/>
      <c r="DQ146" s="201"/>
      <c r="DR146" s="201"/>
      <c r="DS146" s="201"/>
      <c r="DT146" s="201"/>
      <c r="DU146" s="201"/>
      <c r="DV146" s="201"/>
      <c r="DW146" s="201"/>
      <c r="DX146" s="201"/>
      <c r="DY146" s="201"/>
      <c r="DZ146" s="201"/>
      <c r="EA146" s="201"/>
      <c r="EB146" s="201"/>
      <c r="EC146" s="201"/>
      <c r="ED146" s="201"/>
      <c r="EE146" s="201"/>
      <c r="EF146" s="201"/>
      <c r="EG146" s="201"/>
      <c r="EH146" s="201"/>
      <c r="EI146" s="201"/>
      <c r="EJ146" s="201"/>
      <c r="EK146" s="201"/>
      <c r="EL146" s="201"/>
      <c r="EM146" s="201"/>
      <c r="EN146" s="201"/>
      <c r="EO146" s="201"/>
      <c r="EP146" s="201"/>
      <c r="EQ146" s="201"/>
      <c r="ER146" s="201"/>
      <c r="ES146" s="201"/>
    </row>
    <row r="147" spans="17:149" s="146" customFormat="1">
      <c r="Q147" s="145"/>
      <c r="R147" s="145"/>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c r="BY147" s="201"/>
      <c r="BZ147" s="201"/>
      <c r="CA147" s="201"/>
      <c r="CB147" s="201"/>
      <c r="CC147" s="201"/>
      <c r="CD147" s="201"/>
      <c r="CE147" s="201"/>
      <c r="CF147" s="201"/>
      <c r="CG147" s="201"/>
      <c r="CH147" s="201"/>
      <c r="CI147" s="201"/>
      <c r="CJ147" s="201"/>
      <c r="CK147" s="201"/>
      <c r="CL147" s="201"/>
      <c r="CM147" s="201"/>
      <c r="CN147" s="201"/>
      <c r="CO147" s="201"/>
      <c r="CP147" s="201"/>
      <c r="CQ147" s="201"/>
      <c r="CR147" s="201"/>
      <c r="CS147" s="201"/>
      <c r="CT147" s="201"/>
      <c r="CU147" s="201"/>
      <c r="CV147" s="201"/>
      <c r="CW147" s="201"/>
      <c r="CX147" s="201"/>
      <c r="CY147" s="201"/>
      <c r="CZ147" s="201"/>
      <c r="DA147" s="201"/>
      <c r="DB147" s="201"/>
      <c r="DC147" s="201"/>
      <c r="DD147" s="201"/>
      <c r="DE147" s="201"/>
      <c r="DF147" s="201"/>
      <c r="DG147" s="201"/>
      <c r="DH147" s="201"/>
      <c r="DI147" s="201"/>
      <c r="DJ147" s="201"/>
      <c r="DK147" s="201"/>
      <c r="DL147" s="201"/>
      <c r="DM147" s="201"/>
      <c r="DN147" s="201"/>
      <c r="DO147" s="201"/>
      <c r="DP147" s="201"/>
      <c r="DQ147" s="201"/>
      <c r="DR147" s="201"/>
      <c r="DS147" s="201"/>
      <c r="DT147" s="201"/>
      <c r="DU147" s="201"/>
      <c r="DV147" s="201"/>
      <c r="DW147" s="201"/>
      <c r="DX147" s="201"/>
      <c r="DY147" s="201"/>
      <c r="DZ147" s="201"/>
      <c r="EA147" s="201"/>
      <c r="EB147" s="201"/>
      <c r="EC147" s="201"/>
      <c r="ED147" s="201"/>
      <c r="EE147" s="201"/>
      <c r="EF147" s="201"/>
      <c r="EG147" s="201"/>
      <c r="EH147" s="201"/>
      <c r="EI147" s="201"/>
      <c r="EJ147" s="201"/>
      <c r="EK147" s="201"/>
      <c r="EL147" s="201"/>
      <c r="EM147" s="201"/>
      <c r="EN147" s="201"/>
      <c r="EO147" s="201"/>
      <c r="EP147" s="201"/>
      <c r="EQ147" s="201"/>
      <c r="ER147" s="201"/>
      <c r="ES147" s="201"/>
    </row>
    <row r="148" spans="17:149" s="146" customFormat="1">
      <c r="Q148" s="145"/>
      <c r="R148" s="145"/>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1"/>
      <c r="BM148" s="201"/>
      <c r="BN148" s="201"/>
      <c r="BO148" s="201"/>
      <c r="BP148" s="201"/>
      <c r="BQ148" s="201"/>
      <c r="BR148" s="201"/>
      <c r="BS148" s="201"/>
      <c r="BT148" s="201"/>
      <c r="BU148" s="201"/>
      <c r="BV148" s="201"/>
      <c r="BW148" s="201"/>
      <c r="BX148" s="201"/>
      <c r="BY148" s="201"/>
      <c r="BZ148" s="201"/>
      <c r="CA148" s="201"/>
      <c r="CB148" s="201"/>
      <c r="CC148" s="201"/>
      <c r="CD148" s="201"/>
      <c r="CE148" s="201"/>
      <c r="CF148" s="201"/>
      <c r="CG148" s="201"/>
      <c r="CH148" s="201"/>
      <c r="CI148" s="201"/>
      <c r="CJ148" s="201"/>
      <c r="CK148" s="201"/>
      <c r="CL148" s="201"/>
      <c r="CM148" s="201"/>
      <c r="CN148" s="201"/>
      <c r="CO148" s="201"/>
      <c r="CP148" s="201"/>
      <c r="CQ148" s="201"/>
      <c r="CR148" s="201"/>
      <c r="CS148" s="201"/>
      <c r="CT148" s="201"/>
      <c r="CU148" s="201"/>
      <c r="CV148" s="201"/>
      <c r="CW148" s="201"/>
      <c r="CX148" s="201"/>
      <c r="CY148" s="201"/>
      <c r="CZ148" s="201"/>
      <c r="DA148" s="201"/>
      <c r="DB148" s="201"/>
      <c r="DC148" s="201"/>
      <c r="DD148" s="201"/>
      <c r="DE148" s="201"/>
      <c r="DF148" s="201"/>
      <c r="DG148" s="201"/>
      <c r="DH148" s="201"/>
      <c r="DI148" s="201"/>
      <c r="DJ148" s="201"/>
      <c r="DK148" s="201"/>
      <c r="DL148" s="201"/>
      <c r="DM148" s="201"/>
      <c r="DN148" s="201"/>
      <c r="DO148" s="201"/>
      <c r="DP148" s="201"/>
      <c r="DQ148" s="201"/>
      <c r="DR148" s="201"/>
      <c r="DS148" s="201"/>
      <c r="DT148" s="201"/>
      <c r="DU148" s="201"/>
      <c r="DV148" s="201"/>
      <c r="DW148" s="201"/>
      <c r="DX148" s="201"/>
      <c r="DY148" s="201"/>
      <c r="DZ148" s="201"/>
      <c r="EA148" s="201"/>
      <c r="EB148" s="201"/>
      <c r="EC148" s="201"/>
      <c r="ED148" s="201"/>
      <c r="EE148" s="201"/>
      <c r="EF148" s="201"/>
      <c r="EG148" s="201"/>
      <c r="EH148" s="201"/>
      <c r="EI148" s="201"/>
      <c r="EJ148" s="201"/>
      <c r="EK148" s="201"/>
      <c r="EL148" s="201"/>
      <c r="EM148" s="201"/>
      <c r="EN148" s="201"/>
      <c r="EO148" s="201"/>
      <c r="EP148" s="201"/>
      <c r="EQ148" s="201"/>
      <c r="ER148" s="201"/>
      <c r="ES148" s="201"/>
    </row>
    <row r="149" spans="17:149" s="146" customFormat="1">
      <c r="Q149" s="145"/>
      <c r="R149" s="145"/>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c r="BY149" s="201"/>
      <c r="BZ149" s="201"/>
      <c r="CA149" s="201"/>
      <c r="CB149" s="201"/>
      <c r="CC149" s="201"/>
      <c r="CD149" s="201"/>
      <c r="CE149" s="201"/>
      <c r="CF149" s="201"/>
      <c r="CG149" s="201"/>
      <c r="CH149" s="201"/>
      <c r="CI149" s="201"/>
      <c r="CJ149" s="201"/>
      <c r="CK149" s="201"/>
      <c r="CL149" s="201"/>
      <c r="CM149" s="201"/>
      <c r="CN149" s="201"/>
      <c r="CO149" s="201"/>
      <c r="CP149" s="201"/>
      <c r="CQ149" s="201"/>
      <c r="CR149" s="201"/>
      <c r="CS149" s="201"/>
      <c r="CT149" s="201"/>
      <c r="CU149" s="201"/>
      <c r="CV149" s="201"/>
      <c r="CW149" s="201"/>
      <c r="CX149" s="201"/>
      <c r="CY149" s="201"/>
      <c r="CZ149" s="201"/>
      <c r="DA149" s="201"/>
      <c r="DB149" s="201"/>
      <c r="DC149" s="201"/>
      <c r="DD149" s="201"/>
      <c r="DE149" s="201"/>
      <c r="DF149" s="201"/>
      <c r="DG149" s="201"/>
      <c r="DH149" s="201"/>
      <c r="DI149" s="201"/>
      <c r="DJ149" s="201"/>
      <c r="DK149" s="201"/>
      <c r="DL149" s="201"/>
      <c r="DM149" s="201"/>
      <c r="DN149" s="201"/>
      <c r="DO149" s="201"/>
      <c r="DP149" s="201"/>
      <c r="DQ149" s="201"/>
      <c r="DR149" s="201"/>
      <c r="DS149" s="201"/>
      <c r="DT149" s="201"/>
      <c r="DU149" s="201"/>
      <c r="DV149" s="201"/>
      <c r="DW149" s="201"/>
      <c r="DX149" s="201"/>
      <c r="DY149" s="201"/>
      <c r="DZ149" s="201"/>
      <c r="EA149" s="201"/>
      <c r="EB149" s="201"/>
      <c r="EC149" s="201"/>
      <c r="ED149" s="201"/>
      <c r="EE149" s="201"/>
      <c r="EF149" s="201"/>
      <c r="EG149" s="201"/>
      <c r="EH149" s="201"/>
      <c r="EI149" s="201"/>
      <c r="EJ149" s="201"/>
      <c r="EK149" s="201"/>
      <c r="EL149" s="201"/>
      <c r="EM149" s="201"/>
      <c r="EN149" s="201"/>
      <c r="EO149" s="201"/>
      <c r="EP149" s="201"/>
      <c r="EQ149" s="201"/>
      <c r="ER149" s="201"/>
      <c r="ES149" s="201"/>
    </row>
    <row r="150" spans="17:149" s="146" customFormat="1">
      <c r="Q150" s="145"/>
      <c r="R150" s="145"/>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01"/>
      <c r="BX150" s="201"/>
      <c r="BY150" s="201"/>
      <c r="BZ150" s="201"/>
      <c r="CA150" s="201"/>
      <c r="CB150" s="201"/>
      <c r="CC150" s="201"/>
      <c r="CD150" s="201"/>
      <c r="CE150" s="201"/>
      <c r="CF150" s="201"/>
      <c r="CG150" s="201"/>
      <c r="CH150" s="201"/>
      <c r="CI150" s="201"/>
      <c r="CJ150" s="201"/>
      <c r="CK150" s="201"/>
      <c r="CL150" s="201"/>
      <c r="CM150" s="201"/>
      <c r="CN150" s="201"/>
      <c r="CO150" s="201"/>
      <c r="CP150" s="201"/>
      <c r="CQ150" s="201"/>
      <c r="CR150" s="201"/>
      <c r="CS150" s="201"/>
      <c r="CT150" s="201"/>
      <c r="CU150" s="201"/>
      <c r="CV150" s="201"/>
      <c r="CW150" s="201"/>
      <c r="CX150" s="201"/>
      <c r="CY150" s="201"/>
      <c r="CZ150" s="201"/>
      <c r="DA150" s="201"/>
      <c r="DB150" s="201"/>
      <c r="DC150" s="201"/>
      <c r="DD150" s="201"/>
      <c r="DE150" s="201"/>
      <c r="DF150" s="201"/>
      <c r="DG150" s="201"/>
      <c r="DH150" s="201"/>
      <c r="DI150" s="201"/>
      <c r="DJ150" s="201"/>
      <c r="DK150" s="201"/>
      <c r="DL150" s="201"/>
      <c r="DM150" s="201"/>
      <c r="DN150" s="201"/>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c r="EJ150" s="201"/>
      <c r="EK150" s="201"/>
      <c r="EL150" s="201"/>
      <c r="EM150" s="201"/>
      <c r="EN150" s="201"/>
      <c r="EO150" s="201"/>
      <c r="EP150" s="201"/>
      <c r="EQ150" s="201"/>
      <c r="ER150" s="201"/>
      <c r="ES150" s="201"/>
    </row>
    <row r="151" spans="17:149" s="146" customFormat="1">
      <c r="Q151" s="145"/>
      <c r="R151" s="145"/>
      <c r="AR151" s="201"/>
      <c r="AS151" s="201"/>
      <c r="AT151" s="201"/>
      <c r="AU151" s="201"/>
      <c r="AV151" s="201"/>
      <c r="AW151" s="201"/>
      <c r="AX151" s="201"/>
      <c r="AY151" s="201"/>
      <c r="AZ151" s="201"/>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01"/>
      <c r="BX151" s="201"/>
      <c r="BY151" s="201"/>
      <c r="BZ151" s="201"/>
      <c r="CA151" s="201"/>
      <c r="CB151" s="201"/>
      <c r="CC151" s="201"/>
      <c r="CD151" s="201"/>
      <c r="CE151" s="201"/>
      <c r="CF151" s="201"/>
      <c r="CG151" s="201"/>
      <c r="CH151" s="201"/>
      <c r="CI151" s="201"/>
      <c r="CJ151" s="201"/>
      <c r="CK151" s="201"/>
      <c r="CL151" s="201"/>
      <c r="CM151" s="201"/>
      <c r="CN151" s="201"/>
      <c r="CO151" s="201"/>
      <c r="CP151" s="201"/>
      <c r="CQ151" s="201"/>
      <c r="CR151" s="201"/>
      <c r="CS151" s="201"/>
      <c r="CT151" s="201"/>
      <c r="CU151" s="201"/>
      <c r="CV151" s="201"/>
      <c r="CW151" s="201"/>
      <c r="CX151" s="201"/>
      <c r="CY151" s="201"/>
      <c r="CZ151" s="201"/>
      <c r="DA151" s="201"/>
      <c r="DB151" s="201"/>
      <c r="DC151" s="201"/>
      <c r="DD151" s="201"/>
      <c r="DE151" s="201"/>
      <c r="DF151" s="201"/>
      <c r="DG151" s="201"/>
      <c r="DH151" s="201"/>
      <c r="DI151" s="201"/>
      <c r="DJ151" s="201"/>
      <c r="DK151" s="201"/>
      <c r="DL151" s="201"/>
      <c r="DM151" s="201"/>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row>
    <row r="152" spans="17:149" s="146" customFormat="1">
      <c r="Q152" s="145"/>
      <c r="R152" s="145"/>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01"/>
      <c r="BX152" s="201"/>
      <c r="BY152" s="201"/>
      <c r="BZ152" s="201"/>
      <c r="CA152" s="201"/>
      <c r="CB152" s="201"/>
      <c r="CC152" s="201"/>
      <c r="CD152" s="201"/>
      <c r="CE152" s="201"/>
      <c r="CF152" s="201"/>
      <c r="CG152" s="201"/>
      <c r="CH152" s="201"/>
      <c r="CI152" s="201"/>
      <c r="CJ152" s="201"/>
      <c r="CK152" s="201"/>
      <c r="CL152" s="201"/>
      <c r="CM152" s="201"/>
      <c r="CN152" s="201"/>
      <c r="CO152" s="201"/>
      <c r="CP152" s="201"/>
      <c r="CQ152" s="201"/>
      <c r="CR152" s="201"/>
      <c r="CS152" s="201"/>
      <c r="CT152" s="201"/>
      <c r="CU152" s="201"/>
      <c r="CV152" s="201"/>
      <c r="CW152" s="201"/>
      <c r="CX152" s="201"/>
      <c r="CY152" s="201"/>
      <c r="CZ152" s="201"/>
      <c r="DA152" s="201"/>
      <c r="DB152" s="201"/>
      <c r="DC152" s="201"/>
      <c r="DD152" s="201"/>
      <c r="DE152" s="201"/>
      <c r="DF152" s="201"/>
      <c r="DG152" s="201"/>
      <c r="DH152" s="201"/>
      <c r="DI152" s="201"/>
      <c r="DJ152" s="201"/>
      <c r="DK152" s="201"/>
      <c r="DL152" s="201"/>
      <c r="DM152" s="201"/>
      <c r="DN152" s="201"/>
      <c r="DO152" s="201"/>
      <c r="DP152" s="201"/>
      <c r="DQ152" s="201"/>
      <c r="DR152" s="201"/>
      <c r="DS152" s="201"/>
      <c r="DT152" s="201"/>
      <c r="DU152" s="201"/>
      <c r="DV152" s="201"/>
      <c r="DW152" s="201"/>
      <c r="DX152" s="201"/>
      <c r="DY152" s="201"/>
      <c r="DZ152" s="201"/>
      <c r="EA152" s="201"/>
      <c r="EB152" s="201"/>
      <c r="EC152" s="201"/>
      <c r="ED152" s="201"/>
      <c r="EE152" s="201"/>
      <c r="EF152" s="201"/>
      <c r="EG152" s="201"/>
      <c r="EH152" s="201"/>
      <c r="EI152" s="201"/>
      <c r="EJ152" s="201"/>
      <c r="EK152" s="201"/>
      <c r="EL152" s="201"/>
      <c r="EM152" s="201"/>
      <c r="EN152" s="201"/>
      <c r="EO152" s="201"/>
      <c r="EP152" s="201"/>
      <c r="EQ152" s="201"/>
      <c r="ER152" s="201"/>
      <c r="ES152" s="201"/>
    </row>
    <row r="153" spans="17:149" s="146" customFormat="1">
      <c r="Q153" s="145"/>
      <c r="R153" s="145"/>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01"/>
      <c r="BX153" s="201"/>
      <c r="BY153" s="201"/>
      <c r="BZ153" s="201"/>
      <c r="CA153" s="201"/>
      <c r="CB153" s="201"/>
      <c r="CC153" s="201"/>
      <c r="CD153" s="201"/>
      <c r="CE153" s="201"/>
      <c r="CF153" s="201"/>
      <c r="CG153" s="201"/>
      <c r="CH153" s="201"/>
      <c r="CI153" s="201"/>
      <c r="CJ153" s="201"/>
      <c r="CK153" s="201"/>
      <c r="CL153" s="201"/>
      <c r="CM153" s="201"/>
      <c r="CN153" s="201"/>
      <c r="CO153" s="201"/>
      <c r="CP153" s="201"/>
      <c r="CQ153" s="201"/>
      <c r="CR153" s="201"/>
      <c r="CS153" s="201"/>
      <c r="CT153" s="201"/>
      <c r="CU153" s="201"/>
      <c r="CV153" s="201"/>
      <c r="CW153" s="201"/>
      <c r="CX153" s="201"/>
      <c r="CY153" s="201"/>
      <c r="CZ153" s="201"/>
      <c r="DA153" s="201"/>
      <c r="DB153" s="201"/>
      <c r="DC153" s="201"/>
      <c r="DD153" s="201"/>
      <c r="DE153" s="201"/>
      <c r="DF153" s="201"/>
      <c r="DG153" s="201"/>
      <c r="DH153" s="201"/>
      <c r="DI153" s="201"/>
      <c r="DJ153" s="201"/>
      <c r="DK153" s="201"/>
      <c r="DL153" s="201"/>
      <c r="DM153" s="201"/>
      <c r="DN153" s="201"/>
      <c r="DO153" s="201"/>
      <c r="DP153" s="201"/>
      <c r="DQ153" s="201"/>
      <c r="DR153" s="201"/>
      <c r="DS153" s="201"/>
      <c r="DT153" s="201"/>
      <c r="DU153" s="201"/>
      <c r="DV153" s="201"/>
      <c r="DW153" s="201"/>
      <c r="DX153" s="201"/>
      <c r="DY153" s="201"/>
      <c r="DZ153" s="201"/>
      <c r="EA153" s="201"/>
      <c r="EB153" s="201"/>
      <c r="EC153" s="201"/>
      <c r="ED153" s="201"/>
      <c r="EE153" s="201"/>
      <c r="EF153" s="201"/>
      <c r="EG153" s="201"/>
      <c r="EH153" s="201"/>
      <c r="EI153" s="201"/>
      <c r="EJ153" s="201"/>
      <c r="EK153" s="201"/>
      <c r="EL153" s="201"/>
      <c r="EM153" s="201"/>
      <c r="EN153" s="201"/>
      <c r="EO153" s="201"/>
      <c r="EP153" s="201"/>
      <c r="EQ153" s="201"/>
      <c r="ER153" s="201"/>
      <c r="ES153" s="201"/>
    </row>
    <row r="154" spans="17:149" s="146" customFormat="1">
      <c r="Q154" s="145"/>
      <c r="R154" s="145"/>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1"/>
      <c r="BY154" s="201"/>
      <c r="BZ154" s="201"/>
      <c r="CA154" s="201"/>
      <c r="CB154" s="201"/>
      <c r="CC154" s="201"/>
      <c r="CD154" s="201"/>
      <c r="CE154" s="201"/>
      <c r="CF154" s="201"/>
      <c r="CG154" s="201"/>
      <c r="CH154" s="201"/>
      <c r="CI154" s="201"/>
      <c r="CJ154" s="201"/>
      <c r="CK154" s="201"/>
      <c r="CL154" s="201"/>
      <c r="CM154" s="201"/>
      <c r="CN154" s="201"/>
      <c r="CO154" s="201"/>
      <c r="CP154" s="201"/>
      <c r="CQ154" s="201"/>
      <c r="CR154" s="201"/>
      <c r="CS154" s="201"/>
      <c r="CT154" s="201"/>
      <c r="CU154" s="201"/>
      <c r="CV154" s="201"/>
      <c r="CW154" s="201"/>
      <c r="CX154" s="201"/>
      <c r="CY154" s="201"/>
      <c r="CZ154" s="201"/>
      <c r="DA154" s="201"/>
      <c r="DB154" s="201"/>
      <c r="DC154" s="201"/>
      <c r="DD154" s="201"/>
      <c r="DE154" s="201"/>
      <c r="DF154" s="201"/>
      <c r="DG154" s="201"/>
      <c r="DH154" s="201"/>
      <c r="DI154" s="201"/>
      <c r="DJ154" s="201"/>
      <c r="DK154" s="201"/>
      <c r="DL154" s="201"/>
      <c r="DM154" s="201"/>
      <c r="DN154" s="201"/>
      <c r="DO154" s="201"/>
      <c r="DP154" s="201"/>
      <c r="DQ154" s="201"/>
      <c r="DR154" s="201"/>
      <c r="DS154" s="201"/>
      <c r="DT154" s="201"/>
      <c r="DU154" s="201"/>
      <c r="DV154" s="201"/>
      <c r="DW154" s="201"/>
      <c r="DX154" s="201"/>
      <c r="DY154" s="201"/>
      <c r="DZ154" s="201"/>
      <c r="EA154" s="201"/>
      <c r="EB154" s="201"/>
      <c r="EC154" s="201"/>
      <c r="ED154" s="201"/>
      <c r="EE154" s="201"/>
      <c r="EF154" s="201"/>
      <c r="EG154" s="201"/>
      <c r="EH154" s="201"/>
      <c r="EI154" s="201"/>
      <c r="EJ154" s="201"/>
      <c r="EK154" s="201"/>
      <c r="EL154" s="201"/>
      <c r="EM154" s="201"/>
      <c r="EN154" s="201"/>
      <c r="EO154" s="201"/>
      <c r="EP154" s="201"/>
      <c r="EQ154" s="201"/>
      <c r="ER154" s="201"/>
      <c r="ES154" s="201"/>
    </row>
    <row r="155" spans="17:149" s="146" customFormat="1">
      <c r="Q155" s="145"/>
      <c r="R155" s="145"/>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1"/>
      <c r="CC155" s="201"/>
      <c r="CD155" s="201"/>
      <c r="CE155" s="201"/>
      <c r="CF155" s="201"/>
      <c r="CG155" s="201"/>
      <c r="CH155" s="201"/>
      <c r="CI155" s="201"/>
      <c r="CJ155" s="201"/>
      <c r="CK155" s="201"/>
      <c r="CL155" s="201"/>
      <c r="CM155" s="201"/>
      <c r="CN155" s="201"/>
      <c r="CO155" s="201"/>
      <c r="CP155" s="201"/>
      <c r="CQ155" s="201"/>
      <c r="CR155" s="201"/>
      <c r="CS155" s="201"/>
      <c r="CT155" s="201"/>
      <c r="CU155" s="201"/>
      <c r="CV155" s="201"/>
      <c r="CW155" s="201"/>
      <c r="CX155" s="201"/>
      <c r="CY155" s="201"/>
      <c r="CZ155" s="201"/>
      <c r="DA155" s="201"/>
      <c r="DB155" s="201"/>
      <c r="DC155" s="201"/>
      <c r="DD155" s="201"/>
      <c r="DE155" s="201"/>
      <c r="DF155" s="201"/>
      <c r="DG155" s="201"/>
      <c r="DH155" s="201"/>
      <c r="DI155" s="201"/>
      <c r="DJ155" s="201"/>
      <c r="DK155" s="201"/>
      <c r="DL155" s="201"/>
      <c r="DM155" s="201"/>
      <c r="DN155" s="201"/>
      <c r="DO155" s="201"/>
      <c r="DP155" s="201"/>
      <c r="DQ155" s="201"/>
      <c r="DR155" s="201"/>
      <c r="DS155" s="201"/>
      <c r="DT155" s="201"/>
      <c r="DU155" s="201"/>
      <c r="DV155" s="201"/>
      <c r="DW155" s="201"/>
      <c r="DX155" s="201"/>
      <c r="DY155" s="201"/>
      <c r="DZ155" s="201"/>
      <c r="EA155" s="201"/>
      <c r="EB155" s="201"/>
      <c r="EC155" s="201"/>
      <c r="ED155" s="201"/>
      <c r="EE155" s="201"/>
      <c r="EF155" s="201"/>
      <c r="EG155" s="201"/>
      <c r="EH155" s="201"/>
      <c r="EI155" s="201"/>
      <c r="EJ155" s="201"/>
      <c r="EK155" s="201"/>
      <c r="EL155" s="201"/>
      <c r="EM155" s="201"/>
      <c r="EN155" s="201"/>
      <c r="EO155" s="201"/>
      <c r="EP155" s="201"/>
      <c r="EQ155" s="201"/>
      <c r="ER155" s="201"/>
      <c r="ES155" s="201"/>
    </row>
    <row r="156" spans="17:149" s="146" customFormat="1">
      <c r="Q156" s="145"/>
      <c r="R156" s="145"/>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1"/>
      <c r="BW156" s="201"/>
      <c r="BX156" s="201"/>
      <c r="BY156" s="201"/>
      <c r="BZ156" s="201"/>
      <c r="CA156" s="201"/>
      <c r="CB156" s="201"/>
      <c r="CC156" s="201"/>
      <c r="CD156" s="201"/>
      <c r="CE156" s="201"/>
      <c r="CF156" s="201"/>
      <c r="CG156" s="201"/>
      <c r="CH156" s="201"/>
      <c r="CI156" s="201"/>
      <c r="CJ156" s="201"/>
      <c r="CK156" s="201"/>
      <c r="CL156" s="201"/>
      <c r="CM156" s="201"/>
      <c r="CN156" s="201"/>
      <c r="CO156" s="201"/>
      <c r="CP156" s="201"/>
      <c r="CQ156" s="201"/>
      <c r="CR156" s="201"/>
      <c r="CS156" s="201"/>
      <c r="CT156" s="201"/>
      <c r="CU156" s="201"/>
      <c r="CV156" s="201"/>
      <c r="CW156" s="201"/>
      <c r="CX156" s="201"/>
      <c r="CY156" s="201"/>
      <c r="CZ156" s="201"/>
      <c r="DA156" s="201"/>
      <c r="DB156" s="201"/>
      <c r="DC156" s="201"/>
      <c r="DD156" s="201"/>
      <c r="DE156" s="201"/>
      <c r="DF156" s="201"/>
      <c r="DG156" s="201"/>
      <c r="DH156" s="201"/>
      <c r="DI156" s="201"/>
      <c r="DJ156" s="201"/>
      <c r="DK156" s="201"/>
      <c r="DL156" s="201"/>
      <c r="DM156" s="201"/>
      <c r="DN156" s="201"/>
      <c r="DO156" s="201"/>
      <c r="DP156" s="201"/>
      <c r="DQ156" s="201"/>
      <c r="DR156" s="201"/>
      <c r="DS156" s="201"/>
      <c r="DT156" s="201"/>
      <c r="DU156" s="201"/>
      <c r="DV156" s="201"/>
      <c r="DW156" s="201"/>
      <c r="DX156" s="201"/>
      <c r="DY156" s="201"/>
      <c r="DZ156" s="201"/>
      <c r="EA156" s="201"/>
      <c r="EB156" s="201"/>
      <c r="EC156" s="201"/>
      <c r="ED156" s="201"/>
      <c r="EE156" s="201"/>
      <c r="EF156" s="201"/>
      <c r="EG156" s="201"/>
      <c r="EH156" s="201"/>
      <c r="EI156" s="201"/>
      <c r="EJ156" s="201"/>
      <c r="EK156" s="201"/>
      <c r="EL156" s="201"/>
      <c r="EM156" s="201"/>
      <c r="EN156" s="201"/>
      <c r="EO156" s="201"/>
      <c r="EP156" s="201"/>
      <c r="EQ156" s="201"/>
      <c r="ER156" s="201"/>
      <c r="ES156" s="201"/>
    </row>
    <row r="157" spans="17:149" s="146" customFormat="1">
      <c r="Q157" s="145"/>
      <c r="R157" s="145"/>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c r="BY157" s="201"/>
      <c r="BZ157" s="201"/>
      <c r="CA157" s="201"/>
      <c r="CB157" s="201"/>
      <c r="CC157" s="201"/>
      <c r="CD157" s="201"/>
      <c r="CE157" s="201"/>
      <c r="CF157" s="201"/>
      <c r="CG157" s="201"/>
      <c r="CH157" s="201"/>
      <c r="CI157" s="201"/>
      <c r="CJ157" s="201"/>
      <c r="CK157" s="201"/>
      <c r="CL157" s="201"/>
      <c r="CM157" s="201"/>
      <c r="CN157" s="201"/>
      <c r="CO157" s="201"/>
      <c r="CP157" s="201"/>
      <c r="CQ157" s="201"/>
      <c r="CR157" s="201"/>
      <c r="CS157" s="201"/>
      <c r="CT157" s="201"/>
      <c r="CU157" s="201"/>
      <c r="CV157" s="201"/>
      <c r="CW157" s="201"/>
      <c r="CX157" s="201"/>
      <c r="CY157" s="201"/>
      <c r="CZ157" s="201"/>
      <c r="DA157" s="201"/>
      <c r="DB157" s="201"/>
      <c r="DC157" s="201"/>
      <c r="DD157" s="201"/>
      <c r="DE157" s="201"/>
      <c r="DF157" s="201"/>
      <c r="DG157" s="201"/>
      <c r="DH157" s="201"/>
      <c r="DI157" s="201"/>
      <c r="DJ157" s="201"/>
      <c r="DK157" s="201"/>
      <c r="DL157" s="201"/>
      <c r="DM157" s="201"/>
      <c r="DN157" s="201"/>
      <c r="DO157" s="201"/>
      <c r="DP157" s="201"/>
      <c r="DQ157" s="201"/>
      <c r="DR157" s="201"/>
      <c r="DS157" s="201"/>
      <c r="DT157" s="201"/>
      <c r="DU157" s="201"/>
      <c r="DV157" s="201"/>
      <c r="DW157" s="201"/>
      <c r="DX157" s="201"/>
      <c r="DY157" s="201"/>
      <c r="DZ157" s="201"/>
      <c r="EA157" s="201"/>
      <c r="EB157" s="201"/>
      <c r="EC157" s="201"/>
      <c r="ED157" s="201"/>
      <c r="EE157" s="201"/>
      <c r="EF157" s="201"/>
      <c r="EG157" s="201"/>
      <c r="EH157" s="201"/>
      <c r="EI157" s="201"/>
      <c r="EJ157" s="201"/>
      <c r="EK157" s="201"/>
      <c r="EL157" s="201"/>
      <c r="EM157" s="201"/>
      <c r="EN157" s="201"/>
      <c r="EO157" s="201"/>
      <c r="EP157" s="201"/>
      <c r="EQ157" s="201"/>
      <c r="ER157" s="201"/>
      <c r="ES157" s="201"/>
    </row>
    <row r="158" spans="17:149" s="146" customFormat="1">
      <c r="Q158" s="145"/>
      <c r="R158" s="145"/>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c r="BY158" s="201"/>
      <c r="BZ158" s="201"/>
      <c r="CA158" s="201"/>
      <c r="CB158" s="201"/>
      <c r="CC158" s="201"/>
      <c r="CD158" s="201"/>
      <c r="CE158" s="201"/>
      <c r="CF158" s="201"/>
      <c r="CG158" s="201"/>
      <c r="CH158" s="201"/>
      <c r="CI158" s="201"/>
      <c r="CJ158" s="201"/>
      <c r="CK158" s="201"/>
      <c r="CL158" s="201"/>
      <c r="CM158" s="201"/>
      <c r="CN158" s="201"/>
      <c r="CO158" s="201"/>
      <c r="CP158" s="201"/>
      <c r="CQ158" s="201"/>
      <c r="CR158" s="201"/>
      <c r="CS158" s="201"/>
      <c r="CT158" s="201"/>
      <c r="CU158" s="201"/>
      <c r="CV158" s="201"/>
      <c r="CW158" s="201"/>
      <c r="CX158" s="201"/>
      <c r="CY158" s="201"/>
      <c r="CZ158" s="201"/>
      <c r="DA158" s="201"/>
      <c r="DB158" s="201"/>
      <c r="DC158" s="201"/>
      <c r="DD158" s="201"/>
      <c r="DE158" s="201"/>
      <c r="DF158" s="201"/>
      <c r="DG158" s="201"/>
      <c r="DH158" s="201"/>
      <c r="DI158" s="201"/>
      <c r="DJ158" s="201"/>
      <c r="DK158" s="201"/>
      <c r="DL158" s="201"/>
      <c r="DM158" s="201"/>
      <c r="DN158" s="201"/>
      <c r="DO158" s="201"/>
      <c r="DP158" s="201"/>
      <c r="DQ158" s="201"/>
      <c r="DR158" s="201"/>
      <c r="DS158" s="201"/>
      <c r="DT158" s="201"/>
      <c r="DU158" s="201"/>
      <c r="DV158" s="201"/>
      <c r="DW158" s="201"/>
      <c r="DX158" s="201"/>
      <c r="DY158" s="201"/>
      <c r="DZ158" s="201"/>
      <c r="EA158" s="201"/>
      <c r="EB158" s="201"/>
      <c r="EC158" s="201"/>
      <c r="ED158" s="201"/>
      <c r="EE158" s="201"/>
      <c r="EF158" s="201"/>
      <c r="EG158" s="201"/>
      <c r="EH158" s="201"/>
      <c r="EI158" s="201"/>
      <c r="EJ158" s="201"/>
      <c r="EK158" s="201"/>
      <c r="EL158" s="201"/>
      <c r="EM158" s="201"/>
      <c r="EN158" s="201"/>
      <c r="EO158" s="201"/>
      <c r="EP158" s="201"/>
      <c r="EQ158" s="201"/>
      <c r="ER158" s="201"/>
      <c r="ES158" s="201"/>
    </row>
    <row r="159" spans="17:149" s="146" customFormat="1">
      <c r="Q159" s="145"/>
      <c r="R159" s="145"/>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c r="BX159" s="201"/>
      <c r="BY159" s="201"/>
      <c r="BZ159" s="201"/>
      <c r="CA159" s="201"/>
      <c r="CB159" s="201"/>
      <c r="CC159" s="201"/>
      <c r="CD159" s="201"/>
      <c r="CE159" s="201"/>
      <c r="CF159" s="201"/>
      <c r="CG159" s="201"/>
      <c r="CH159" s="201"/>
      <c r="CI159" s="201"/>
      <c r="CJ159" s="201"/>
      <c r="CK159" s="201"/>
      <c r="CL159" s="201"/>
      <c r="CM159" s="201"/>
      <c r="CN159" s="201"/>
      <c r="CO159" s="201"/>
      <c r="CP159" s="201"/>
      <c r="CQ159" s="201"/>
      <c r="CR159" s="201"/>
      <c r="CS159" s="201"/>
      <c r="CT159" s="201"/>
      <c r="CU159" s="201"/>
      <c r="CV159" s="201"/>
      <c r="CW159" s="201"/>
      <c r="CX159" s="201"/>
      <c r="CY159" s="201"/>
      <c r="CZ159" s="201"/>
      <c r="DA159" s="201"/>
      <c r="DB159" s="201"/>
      <c r="DC159" s="201"/>
      <c r="DD159" s="201"/>
      <c r="DE159" s="201"/>
      <c r="DF159" s="201"/>
      <c r="DG159" s="201"/>
      <c r="DH159" s="201"/>
      <c r="DI159" s="201"/>
      <c r="DJ159" s="201"/>
      <c r="DK159" s="201"/>
      <c r="DL159" s="201"/>
      <c r="DM159" s="201"/>
      <c r="DN159" s="201"/>
      <c r="DO159" s="201"/>
      <c r="DP159" s="201"/>
      <c r="DQ159" s="201"/>
      <c r="DR159" s="201"/>
      <c r="DS159" s="201"/>
      <c r="DT159" s="201"/>
      <c r="DU159" s="201"/>
      <c r="DV159" s="201"/>
      <c r="DW159" s="201"/>
      <c r="DX159" s="201"/>
      <c r="DY159" s="201"/>
      <c r="DZ159" s="201"/>
      <c r="EA159" s="201"/>
      <c r="EB159" s="201"/>
      <c r="EC159" s="201"/>
      <c r="ED159" s="201"/>
      <c r="EE159" s="201"/>
      <c r="EF159" s="201"/>
      <c r="EG159" s="201"/>
      <c r="EH159" s="201"/>
      <c r="EI159" s="201"/>
      <c r="EJ159" s="201"/>
      <c r="EK159" s="201"/>
      <c r="EL159" s="201"/>
      <c r="EM159" s="201"/>
      <c r="EN159" s="201"/>
      <c r="EO159" s="201"/>
      <c r="EP159" s="201"/>
      <c r="EQ159" s="201"/>
      <c r="ER159" s="201"/>
      <c r="ES159" s="201"/>
    </row>
    <row r="160" spans="17:149" s="146" customFormat="1">
      <c r="Q160" s="145"/>
      <c r="R160" s="145"/>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201"/>
      <c r="BU160" s="201"/>
      <c r="BV160" s="201"/>
      <c r="BW160" s="201"/>
      <c r="BX160" s="201"/>
      <c r="BY160" s="201"/>
      <c r="BZ160" s="201"/>
      <c r="CA160" s="201"/>
      <c r="CB160" s="201"/>
      <c r="CC160" s="201"/>
      <c r="CD160" s="201"/>
      <c r="CE160" s="201"/>
      <c r="CF160" s="201"/>
      <c r="CG160" s="201"/>
      <c r="CH160" s="201"/>
      <c r="CI160" s="201"/>
      <c r="CJ160" s="201"/>
      <c r="CK160" s="201"/>
      <c r="CL160" s="201"/>
      <c r="CM160" s="201"/>
      <c r="CN160" s="201"/>
      <c r="CO160" s="201"/>
      <c r="CP160" s="201"/>
      <c r="CQ160" s="201"/>
      <c r="CR160" s="201"/>
      <c r="CS160" s="201"/>
      <c r="CT160" s="201"/>
      <c r="CU160" s="201"/>
      <c r="CV160" s="201"/>
      <c r="CW160" s="201"/>
      <c r="CX160" s="201"/>
      <c r="CY160" s="201"/>
      <c r="CZ160" s="201"/>
      <c r="DA160" s="201"/>
      <c r="DB160" s="201"/>
      <c r="DC160" s="201"/>
      <c r="DD160" s="201"/>
      <c r="DE160" s="201"/>
      <c r="DF160" s="201"/>
      <c r="DG160" s="201"/>
      <c r="DH160" s="201"/>
      <c r="DI160" s="201"/>
      <c r="DJ160" s="201"/>
      <c r="DK160" s="201"/>
      <c r="DL160" s="201"/>
      <c r="DM160" s="201"/>
      <c r="DN160" s="201"/>
      <c r="DO160" s="201"/>
      <c r="DP160" s="201"/>
      <c r="DQ160" s="201"/>
      <c r="DR160" s="201"/>
      <c r="DS160" s="201"/>
      <c r="DT160" s="201"/>
      <c r="DU160" s="201"/>
      <c r="DV160" s="201"/>
      <c r="DW160" s="201"/>
      <c r="DX160" s="201"/>
      <c r="DY160" s="201"/>
      <c r="DZ160" s="201"/>
      <c r="EA160" s="201"/>
      <c r="EB160" s="201"/>
      <c r="EC160" s="201"/>
      <c r="ED160" s="201"/>
      <c r="EE160" s="201"/>
      <c r="EF160" s="201"/>
      <c r="EG160" s="201"/>
      <c r="EH160" s="201"/>
      <c r="EI160" s="201"/>
      <c r="EJ160" s="201"/>
      <c r="EK160" s="201"/>
      <c r="EL160" s="201"/>
      <c r="EM160" s="201"/>
      <c r="EN160" s="201"/>
      <c r="EO160" s="201"/>
      <c r="EP160" s="201"/>
      <c r="EQ160" s="201"/>
      <c r="ER160" s="201"/>
      <c r="ES160" s="201"/>
    </row>
    <row r="161" spans="17:149" s="146" customFormat="1">
      <c r="Q161" s="145"/>
      <c r="R161" s="145"/>
      <c r="AR161" s="201"/>
      <c r="AS161" s="201"/>
      <c r="AT161" s="201"/>
      <c r="AU161" s="201"/>
      <c r="AV161" s="201"/>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201"/>
      <c r="BU161" s="201"/>
      <c r="BV161" s="201"/>
      <c r="BW161" s="201"/>
      <c r="BX161" s="201"/>
      <c r="BY161" s="201"/>
      <c r="BZ161" s="201"/>
      <c r="CA161" s="201"/>
      <c r="CB161" s="201"/>
      <c r="CC161" s="201"/>
      <c r="CD161" s="201"/>
      <c r="CE161" s="201"/>
      <c r="CF161" s="201"/>
      <c r="CG161" s="201"/>
      <c r="CH161" s="201"/>
      <c r="CI161" s="201"/>
      <c r="CJ161" s="201"/>
      <c r="CK161" s="201"/>
      <c r="CL161" s="201"/>
      <c r="CM161" s="201"/>
      <c r="CN161" s="201"/>
      <c r="CO161" s="201"/>
      <c r="CP161" s="201"/>
      <c r="CQ161" s="201"/>
      <c r="CR161" s="201"/>
      <c r="CS161" s="201"/>
      <c r="CT161" s="201"/>
      <c r="CU161" s="201"/>
      <c r="CV161" s="201"/>
      <c r="CW161" s="201"/>
      <c r="CX161" s="201"/>
      <c r="CY161" s="201"/>
      <c r="CZ161" s="201"/>
      <c r="DA161" s="201"/>
      <c r="DB161" s="201"/>
      <c r="DC161" s="201"/>
      <c r="DD161" s="201"/>
      <c r="DE161" s="201"/>
      <c r="DF161" s="201"/>
      <c r="DG161" s="201"/>
      <c r="DH161" s="201"/>
      <c r="DI161" s="201"/>
      <c r="DJ161" s="201"/>
      <c r="DK161" s="201"/>
      <c r="DL161" s="201"/>
      <c r="DM161" s="201"/>
      <c r="DN161" s="201"/>
      <c r="DO161" s="201"/>
      <c r="DP161" s="201"/>
      <c r="DQ161" s="201"/>
      <c r="DR161" s="201"/>
      <c r="DS161" s="201"/>
      <c r="DT161" s="201"/>
      <c r="DU161" s="201"/>
      <c r="DV161" s="201"/>
      <c r="DW161" s="201"/>
      <c r="DX161" s="201"/>
      <c r="DY161" s="201"/>
      <c r="DZ161" s="201"/>
      <c r="EA161" s="201"/>
      <c r="EB161" s="201"/>
      <c r="EC161" s="201"/>
      <c r="ED161" s="201"/>
      <c r="EE161" s="201"/>
      <c r="EF161" s="201"/>
      <c r="EG161" s="201"/>
      <c r="EH161" s="201"/>
      <c r="EI161" s="201"/>
      <c r="EJ161" s="201"/>
      <c r="EK161" s="201"/>
      <c r="EL161" s="201"/>
      <c r="EM161" s="201"/>
      <c r="EN161" s="201"/>
      <c r="EO161" s="201"/>
      <c r="EP161" s="201"/>
      <c r="EQ161" s="201"/>
      <c r="ER161" s="201"/>
      <c r="ES161" s="201"/>
    </row>
    <row r="162" spans="17:149" s="146" customFormat="1">
      <c r="Q162" s="145"/>
      <c r="R162" s="145"/>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01"/>
      <c r="BU162" s="201"/>
      <c r="BV162" s="201"/>
      <c r="BW162" s="201"/>
      <c r="BX162" s="201"/>
      <c r="BY162" s="201"/>
      <c r="BZ162" s="201"/>
      <c r="CA162" s="201"/>
      <c r="CB162" s="201"/>
      <c r="CC162" s="201"/>
      <c r="CD162" s="201"/>
      <c r="CE162" s="201"/>
      <c r="CF162" s="201"/>
      <c r="CG162" s="201"/>
      <c r="CH162" s="201"/>
      <c r="CI162" s="201"/>
      <c r="CJ162" s="201"/>
      <c r="CK162" s="201"/>
      <c r="CL162" s="201"/>
      <c r="CM162" s="201"/>
      <c r="CN162" s="201"/>
      <c r="CO162" s="201"/>
      <c r="CP162" s="201"/>
      <c r="CQ162" s="201"/>
      <c r="CR162" s="201"/>
      <c r="CS162" s="201"/>
      <c r="CT162" s="201"/>
      <c r="CU162" s="201"/>
      <c r="CV162" s="201"/>
      <c r="CW162" s="201"/>
      <c r="CX162" s="201"/>
      <c r="CY162" s="201"/>
      <c r="CZ162" s="201"/>
      <c r="DA162" s="201"/>
      <c r="DB162" s="201"/>
      <c r="DC162" s="201"/>
      <c r="DD162" s="201"/>
      <c r="DE162" s="201"/>
      <c r="DF162" s="201"/>
      <c r="DG162" s="201"/>
      <c r="DH162" s="201"/>
      <c r="DI162" s="201"/>
      <c r="DJ162" s="201"/>
      <c r="DK162" s="201"/>
      <c r="DL162" s="201"/>
      <c r="DM162" s="201"/>
      <c r="DN162" s="201"/>
      <c r="DO162" s="201"/>
      <c r="DP162" s="201"/>
      <c r="DQ162" s="201"/>
      <c r="DR162" s="201"/>
      <c r="DS162" s="201"/>
      <c r="DT162" s="201"/>
      <c r="DU162" s="201"/>
      <c r="DV162" s="201"/>
      <c r="DW162" s="201"/>
      <c r="DX162" s="201"/>
      <c r="DY162" s="201"/>
      <c r="DZ162" s="201"/>
      <c r="EA162" s="201"/>
      <c r="EB162" s="201"/>
      <c r="EC162" s="201"/>
      <c r="ED162" s="201"/>
      <c r="EE162" s="201"/>
      <c r="EF162" s="201"/>
      <c r="EG162" s="201"/>
      <c r="EH162" s="201"/>
      <c r="EI162" s="201"/>
      <c r="EJ162" s="201"/>
      <c r="EK162" s="201"/>
      <c r="EL162" s="201"/>
      <c r="EM162" s="201"/>
      <c r="EN162" s="201"/>
      <c r="EO162" s="201"/>
      <c r="EP162" s="201"/>
      <c r="EQ162" s="201"/>
      <c r="ER162" s="201"/>
      <c r="ES162" s="201"/>
    </row>
    <row r="163" spans="17:149" s="146" customFormat="1">
      <c r="Q163" s="145"/>
      <c r="R163" s="145"/>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201"/>
      <c r="BS163" s="201"/>
      <c r="BT163" s="201"/>
      <c r="BU163" s="201"/>
      <c r="BV163" s="201"/>
      <c r="BW163" s="201"/>
      <c r="BX163" s="201"/>
      <c r="BY163" s="201"/>
      <c r="BZ163" s="201"/>
      <c r="CA163" s="201"/>
      <c r="CB163" s="201"/>
      <c r="CC163" s="201"/>
      <c r="CD163" s="201"/>
      <c r="CE163" s="201"/>
      <c r="CF163" s="201"/>
      <c r="CG163" s="201"/>
      <c r="CH163" s="201"/>
      <c r="CI163" s="201"/>
      <c r="CJ163" s="201"/>
      <c r="CK163" s="201"/>
      <c r="CL163" s="201"/>
      <c r="CM163" s="201"/>
      <c r="CN163" s="201"/>
      <c r="CO163" s="201"/>
      <c r="CP163" s="201"/>
      <c r="CQ163" s="201"/>
      <c r="CR163" s="201"/>
      <c r="CS163" s="201"/>
      <c r="CT163" s="201"/>
      <c r="CU163" s="201"/>
      <c r="CV163" s="201"/>
      <c r="CW163" s="201"/>
      <c r="CX163" s="201"/>
      <c r="CY163" s="201"/>
      <c r="CZ163" s="201"/>
      <c r="DA163" s="201"/>
      <c r="DB163" s="201"/>
      <c r="DC163" s="201"/>
      <c r="DD163" s="201"/>
      <c r="DE163" s="201"/>
      <c r="DF163" s="201"/>
      <c r="DG163" s="201"/>
      <c r="DH163" s="201"/>
      <c r="DI163" s="201"/>
      <c r="DJ163" s="201"/>
      <c r="DK163" s="201"/>
      <c r="DL163" s="201"/>
      <c r="DM163" s="201"/>
      <c r="DN163" s="201"/>
      <c r="DO163" s="201"/>
      <c r="DP163" s="201"/>
      <c r="DQ163" s="201"/>
      <c r="DR163" s="201"/>
      <c r="DS163" s="201"/>
      <c r="DT163" s="201"/>
      <c r="DU163" s="201"/>
      <c r="DV163" s="201"/>
      <c r="DW163" s="201"/>
      <c r="DX163" s="201"/>
      <c r="DY163" s="201"/>
      <c r="DZ163" s="201"/>
      <c r="EA163" s="201"/>
      <c r="EB163" s="201"/>
      <c r="EC163" s="201"/>
      <c r="ED163" s="201"/>
      <c r="EE163" s="201"/>
      <c r="EF163" s="201"/>
      <c r="EG163" s="201"/>
      <c r="EH163" s="201"/>
      <c r="EI163" s="201"/>
      <c r="EJ163" s="201"/>
      <c r="EK163" s="201"/>
      <c r="EL163" s="201"/>
      <c r="EM163" s="201"/>
      <c r="EN163" s="201"/>
      <c r="EO163" s="201"/>
      <c r="EP163" s="201"/>
      <c r="EQ163" s="201"/>
      <c r="ER163" s="201"/>
      <c r="ES163" s="201"/>
    </row>
    <row r="164" spans="17:149" s="146" customFormat="1">
      <c r="Q164" s="145"/>
      <c r="R164" s="145"/>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1"/>
      <c r="BM164" s="201"/>
      <c r="BN164" s="201"/>
      <c r="BO164" s="201"/>
      <c r="BP164" s="201"/>
      <c r="BQ164" s="201"/>
      <c r="BR164" s="201"/>
      <c r="BS164" s="201"/>
      <c r="BT164" s="201"/>
      <c r="BU164" s="201"/>
      <c r="BV164" s="201"/>
      <c r="BW164" s="201"/>
      <c r="BX164" s="201"/>
      <c r="BY164" s="201"/>
      <c r="BZ164" s="201"/>
      <c r="CA164" s="201"/>
      <c r="CB164" s="201"/>
      <c r="CC164" s="201"/>
      <c r="CD164" s="201"/>
      <c r="CE164" s="201"/>
      <c r="CF164" s="201"/>
      <c r="CG164" s="201"/>
      <c r="CH164" s="201"/>
      <c r="CI164" s="201"/>
      <c r="CJ164" s="201"/>
      <c r="CK164" s="201"/>
      <c r="CL164" s="201"/>
      <c r="CM164" s="201"/>
      <c r="CN164" s="201"/>
      <c r="CO164" s="201"/>
      <c r="CP164" s="201"/>
      <c r="CQ164" s="201"/>
      <c r="CR164" s="201"/>
      <c r="CS164" s="201"/>
      <c r="CT164" s="201"/>
      <c r="CU164" s="201"/>
      <c r="CV164" s="201"/>
      <c r="CW164" s="201"/>
      <c r="CX164" s="201"/>
      <c r="CY164" s="201"/>
      <c r="CZ164" s="201"/>
      <c r="DA164" s="201"/>
      <c r="DB164" s="201"/>
      <c r="DC164" s="201"/>
      <c r="DD164" s="201"/>
      <c r="DE164" s="201"/>
      <c r="DF164" s="201"/>
      <c r="DG164" s="201"/>
      <c r="DH164" s="201"/>
      <c r="DI164" s="201"/>
      <c r="DJ164" s="201"/>
      <c r="DK164" s="201"/>
      <c r="DL164" s="201"/>
      <c r="DM164" s="201"/>
      <c r="DN164" s="201"/>
      <c r="DO164" s="201"/>
      <c r="DP164" s="201"/>
      <c r="DQ164" s="201"/>
      <c r="DR164" s="201"/>
      <c r="DS164" s="201"/>
      <c r="DT164" s="201"/>
      <c r="DU164" s="201"/>
      <c r="DV164" s="201"/>
      <c r="DW164" s="201"/>
      <c r="DX164" s="201"/>
      <c r="DY164" s="201"/>
      <c r="DZ164" s="201"/>
      <c r="EA164" s="201"/>
      <c r="EB164" s="201"/>
      <c r="EC164" s="201"/>
      <c r="ED164" s="201"/>
      <c r="EE164" s="201"/>
      <c r="EF164" s="201"/>
      <c r="EG164" s="201"/>
      <c r="EH164" s="201"/>
      <c r="EI164" s="201"/>
      <c r="EJ164" s="201"/>
      <c r="EK164" s="201"/>
      <c r="EL164" s="201"/>
      <c r="EM164" s="201"/>
      <c r="EN164" s="201"/>
      <c r="EO164" s="201"/>
      <c r="EP164" s="201"/>
      <c r="EQ164" s="201"/>
      <c r="ER164" s="201"/>
      <c r="ES164" s="201"/>
    </row>
    <row r="165" spans="17:149" s="146" customFormat="1">
      <c r="Q165" s="145"/>
      <c r="R165" s="145"/>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1"/>
      <c r="CC165" s="201"/>
      <c r="CD165" s="201"/>
      <c r="CE165" s="201"/>
      <c r="CF165" s="201"/>
      <c r="CG165" s="201"/>
      <c r="CH165" s="201"/>
      <c r="CI165" s="201"/>
      <c r="CJ165" s="201"/>
      <c r="CK165" s="201"/>
      <c r="CL165" s="201"/>
      <c r="CM165" s="201"/>
      <c r="CN165" s="201"/>
      <c r="CO165" s="201"/>
      <c r="CP165" s="201"/>
      <c r="CQ165" s="201"/>
      <c r="CR165" s="201"/>
      <c r="CS165" s="201"/>
      <c r="CT165" s="201"/>
      <c r="CU165" s="201"/>
      <c r="CV165" s="201"/>
      <c r="CW165" s="201"/>
      <c r="CX165" s="201"/>
      <c r="CY165" s="201"/>
      <c r="CZ165" s="201"/>
      <c r="DA165" s="201"/>
      <c r="DB165" s="201"/>
      <c r="DC165" s="201"/>
      <c r="DD165" s="201"/>
      <c r="DE165" s="201"/>
      <c r="DF165" s="201"/>
      <c r="DG165" s="201"/>
      <c r="DH165" s="201"/>
      <c r="DI165" s="201"/>
      <c r="DJ165" s="201"/>
      <c r="DK165" s="201"/>
      <c r="DL165" s="201"/>
      <c r="DM165" s="201"/>
      <c r="DN165" s="201"/>
      <c r="DO165" s="201"/>
      <c r="DP165" s="201"/>
      <c r="DQ165" s="201"/>
      <c r="DR165" s="201"/>
      <c r="DS165" s="201"/>
      <c r="DT165" s="201"/>
      <c r="DU165" s="201"/>
      <c r="DV165" s="201"/>
      <c r="DW165" s="201"/>
      <c r="DX165" s="201"/>
      <c r="DY165" s="201"/>
      <c r="DZ165" s="201"/>
      <c r="EA165" s="201"/>
      <c r="EB165" s="201"/>
      <c r="EC165" s="201"/>
      <c r="ED165" s="201"/>
      <c r="EE165" s="201"/>
      <c r="EF165" s="201"/>
      <c r="EG165" s="201"/>
      <c r="EH165" s="201"/>
      <c r="EI165" s="201"/>
      <c r="EJ165" s="201"/>
      <c r="EK165" s="201"/>
      <c r="EL165" s="201"/>
      <c r="EM165" s="201"/>
      <c r="EN165" s="201"/>
      <c r="EO165" s="201"/>
      <c r="EP165" s="201"/>
      <c r="EQ165" s="201"/>
      <c r="ER165" s="201"/>
      <c r="ES165" s="201"/>
    </row>
    <row r="166" spans="17:149" s="146" customFormat="1">
      <c r="Q166" s="145"/>
      <c r="R166" s="145"/>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1"/>
      <c r="CC166" s="201"/>
      <c r="CD166" s="201"/>
      <c r="CE166" s="201"/>
      <c r="CF166" s="201"/>
      <c r="CG166" s="201"/>
      <c r="CH166" s="201"/>
      <c r="CI166" s="201"/>
      <c r="CJ166" s="201"/>
      <c r="CK166" s="201"/>
      <c r="CL166" s="201"/>
      <c r="CM166" s="201"/>
      <c r="CN166" s="201"/>
      <c r="CO166" s="201"/>
      <c r="CP166" s="201"/>
      <c r="CQ166" s="201"/>
      <c r="CR166" s="201"/>
      <c r="CS166" s="201"/>
      <c r="CT166" s="201"/>
      <c r="CU166" s="201"/>
      <c r="CV166" s="201"/>
      <c r="CW166" s="201"/>
      <c r="CX166" s="201"/>
      <c r="CY166" s="201"/>
      <c r="CZ166" s="201"/>
      <c r="DA166" s="201"/>
      <c r="DB166" s="201"/>
      <c r="DC166" s="201"/>
      <c r="DD166" s="201"/>
      <c r="DE166" s="201"/>
      <c r="DF166" s="201"/>
      <c r="DG166" s="201"/>
      <c r="DH166" s="201"/>
      <c r="DI166" s="201"/>
      <c r="DJ166" s="201"/>
      <c r="DK166" s="201"/>
      <c r="DL166" s="201"/>
      <c r="DM166" s="201"/>
      <c r="DN166" s="201"/>
      <c r="DO166" s="201"/>
      <c r="DP166" s="201"/>
      <c r="DQ166" s="201"/>
      <c r="DR166" s="201"/>
      <c r="DS166" s="201"/>
      <c r="DT166" s="201"/>
      <c r="DU166" s="201"/>
      <c r="DV166" s="201"/>
      <c r="DW166" s="201"/>
      <c r="DX166" s="201"/>
      <c r="DY166" s="201"/>
      <c r="DZ166" s="201"/>
      <c r="EA166" s="201"/>
      <c r="EB166" s="201"/>
      <c r="EC166" s="201"/>
      <c r="ED166" s="201"/>
      <c r="EE166" s="201"/>
      <c r="EF166" s="201"/>
      <c r="EG166" s="201"/>
      <c r="EH166" s="201"/>
      <c r="EI166" s="201"/>
      <c r="EJ166" s="201"/>
      <c r="EK166" s="201"/>
      <c r="EL166" s="201"/>
      <c r="EM166" s="201"/>
      <c r="EN166" s="201"/>
      <c r="EO166" s="201"/>
      <c r="EP166" s="201"/>
      <c r="EQ166" s="201"/>
      <c r="ER166" s="201"/>
      <c r="ES166" s="201"/>
    </row>
    <row r="167" spans="17:149" s="146" customFormat="1">
      <c r="Q167" s="145"/>
      <c r="R167" s="145"/>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1"/>
      <c r="CC167" s="201"/>
      <c r="CD167" s="201"/>
      <c r="CE167" s="201"/>
      <c r="CF167" s="201"/>
      <c r="CG167" s="201"/>
      <c r="CH167" s="201"/>
      <c r="CI167" s="201"/>
      <c r="CJ167" s="201"/>
      <c r="CK167" s="201"/>
      <c r="CL167" s="201"/>
      <c r="CM167" s="201"/>
      <c r="CN167" s="201"/>
      <c r="CO167" s="201"/>
      <c r="CP167" s="201"/>
      <c r="CQ167" s="201"/>
      <c r="CR167" s="201"/>
      <c r="CS167" s="201"/>
      <c r="CT167" s="201"/>
      <c r="CU167" s="201"/>
      <c r="CV167" s="201"/>
      <c r="CW167" s="201"/>
      <c r="CX167" s="201"/>
      <c r="CY167" s="201"/>
      <c r="CZ167" s="201"/>
      <c r="DA167" s="201"/>
      <c r="DB167" s="201"/>
      <c r="DC167" s="201"/>
      <c r="DD167" s="201"/>
      <c r="DE167" s="201"/>
      <c r="DF167" s="201"/>
      <c r="DG167" s="201"/>
      <c r="DH167" s="201"/>
      <c r="DI167" s="201"/>
      <c r="DJ167" s="201"/>
      <c r="DK167" s="201"/>
      <c r="DL167" s="201"/>
      <c r="DM167" s="201"/>
      <c r="DN167" s="201"/>
      <c r="DO167" s="201"/>
      <c r="DP167" s="201"/>
      <c r="DQ167" s="201"/>
      <c r="DR167" s="201"/>
      <c r="DS167" s="201"/>
      <c r="DT167" s="201"/>
      <c r="DU167" s="201"/>
      <c r="DV167" s="201"/>
      <c r="DW167" s="201"/>
      <c r="DX167" s="201"/>
      <c r="DY167" s="201"/>
      <c r="DZ167" s="201"/>
      <c r="EA167" s="201"/>
      <c r="EB167" s="201"/>
      <c r="EC167" s="201"/>
      <c r="ED167" s="201"/>
      <c r="EE167" s="201"/>
      <c r="EF167" s="201"/>
      <c r="EG167" s="201"/>
      <c r="EH167" s="201"/>
      <c r="EI167" s="201"/>
      <c r="EJ167" s="201"/>
      <c r="EK167" s="201"/>
      <c r="EL167" s="201"/>
      <c r="EM167" s="201"/>
      <c r="EN167" s="201"/>
      <c r="EO167" s="201"/>
      <c r="EP167" s="201"/>
      <c r="EQ167" s="201"/>
      <c r="ER167" s="201"/>
      <c r="ES167" s="201"/>
    </row>
    <row r="168" spans="17:149" s="146" customFormat="1">
      <c r="Q168" s="145"/>
      <c r="R168" s="145"/>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1"/>
      <c r="CC168" s="201"/>
      <c r="CD168" s="201"/>
      <c r="CE168" s="201"/>
      <c r="CF168" s="201"/>
      <c r="CG168" s="201"/>
      <c r="CH168" s="201"/>
      <c r="CI168" s="201"/>
      <c r="CJ168" s="201"/>
      <c r="CK168" s="201"/>
      <c r="CL168" s="201"/>
      <c r="CM168" s="201"/>
      <c r="CN168" s="201"/>
      <c r="CO168" s="201"/>
      <c r="CP168" s="201"/>
      <c r="CQ168" s="201"/>
      <c r="CR168" s="201"/>
      <c r="CS168" s="201"/>
      <c r="CT168" s="201"/>
      <c r="CU168" s="201"/>
      <c r="CV168" s="201"/>
      <c r="CW168" s="201"/>
      <c r="CX168" s="201"/>
      <c r="CY168" s="201"/>
      <c r="CZ168" s="201"/>
      <c r="DA168" s="201"/>
      <c r="DB168" s="201"/>
      <c r="DC168" s="201"/>
      <c r="DD168" s="201"/>
      <c r="DE168" s="201"/>
      <c r="DF168" s="201"/>
      <c r="DG168" s="201"/>
      <c r="DH168" s="201"/>
      <c r="DI168" s="201"/>
      <c r="DJ168" s="201"/>
      <c r="DK168" s="201"/>
      <c r="DL168" s="201"/>
      <c r="DM168" s="201"/>
      <c r="DN168" s="201"/>
      <c r="DO168" s="201"/>
      <c r="DP168" s="201"/>
      <c r="DQ168" s="201"/>
      <c r="DR168" s="201"/>
      <c r="DS168" s="201"/>
      <c r="DT168" s="201"/>
      <c r="DU168" s="201"/>
      <c r="DV168" s="201"/>
      <c r="DW168" s="201"/>
      <c r="DX168" s="201"/>
      <c r="DY168" s="201"/>
      <c r="DZ168" s="201"/>
      <c r="EA168" s="201"/>
      <c r="EB168" s="201"/>
      <c r="EC168" s="201"/>
      <c r="ED168" s="201"/>
      <c r="EE168" s="201"/>
      <c r="EF168" s="201"/>
      <c r="EG168" s="201"/>
      <c r="EH168" s="201"/>
      <c r="EI168" s="201"/>
      <c r="EJ168" s="201"/>
      <c r="EK168" s="201"/>
      <c r="EL168" s="201"/>
      <c r="EM168" s="201"/>
      <c r="EN168" s="201"/>
      <c r="EO168" s="201"/>
      <c r="EP168" s="201"/>
      <c r="EQ168" s="201"/>
      <c r="ER168" s="201"/>
      <c r="ES168" s="201"/>
    </row>
    <row r="169" spans="17:149" s="146" customFormat="1">
      <c r="Q169" s="145"/>
      <c r="R169" s="145"/>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1"/>
      <c r="BR169" s="201"/>
      <c r="BS169" s="201"/>
      <c r="BT169" s="201"/>
      <c r="BU169" s="201"/>
      <c r="BV169" s="201"/>
      <c r="BW169" s="201"/>
      <c r="BX169" s="201"/>
      <c r="BY169" s="201"/>
      <c r="BZ169" s="201"/>
      <c r="CA169" s="201"/>
      <c r="CB169" s="201"/>
      <c r="CC169" s="201"/>
      <c r="CD169" s="201"/>
      <c r="CE169" s="201"/>
      <c r="CF169" s="201"/>
      <c r="CG169" s="201"/>
      <c r="CH169" s="201"/>
      <c r="CI169" s="201"/>
      <c r="CJ169" s="201"/>
      <c r="CK169" s="201"/>
      <c r="CL169" s="201"/>
      <c r="CM169" s="201"/>
      <c r="CN169" s="201"/>
      <c r="CO169" s="201"/>
      <c r="CP169" s="201"/>
      <c r="CQ169" s="201"/>
      <c r="CR169" s="201"/>
      <c r="CS169" s="201"/>
      <c r="CT169" s="201"/>
      <c r="CU169" s="201"/>
      <c r="CV169" s="201"/>
      <c r="CW169" s="201"/>
      <c r="CX169" s="201"/>
      <c r="CY169" s="201"/>
      <c r="CZ169" s="201"/>
      <c r="DA169" s="201"/>
      <c r="DB169" s="201"/>
      <c r="DC169" s="201"/>
      <c r="DD169" s="201"/>
      <c r="DE169" s="201"/>
      <c r="DF169" s="201"/>
      <c r="DG169" s="201"/>
      <c r="DH169" s="201"/>
      <c r="DI169" s="201"/>
      <c r="DJ169" s="201"/>
      <c r="DK169" s="201"/>
      <c r="DL169" s="201"/>
      <c r="DM169" s="201"/>
      <c r="DN169" s="201"/>
      <c r="DO169" s="201"/>
      <c r="DP169" s="201"/>
      <c r="DQ169" s="201"/>
      <c r="DR169" s="201"/>
      <c r="DS169" s="201"/>
      <c r="DT169" s="201"/>
      <c r="DU169" s="201"/>
      <c r="DV169" s="201"/>
      <c r="DW169" s="201"/>
      <c r="DX169" s="201"/>
      <c r="DY169" s="201"/>
      <c r="DZ169" s="201"/>
      <c r="EA169" s="201"/>
      <c r="EB169" s="201"/>
      <c r="EC169" s="201"/>
      <c r="ED169" s="201"/>
      <c r="EE169" s="201"/>
      <c r="EF169" s="201"/>
      <c r="EG169" s="201"/>
      <c r="EH169" s="201"/>
      <c r="EI169" s="201"/>
      <c r="EJ169" s="201"/>
      <c r="EK169" s="201"/>
      <c r="EL169" s="201"/>
      <c r="EM169" s="201"/>
      <c r="EN169" s="201"/>
      <c r="EO169" s="201"/>
      <c r="EP169" s="201"/>
      <c r="EQ169" s="201"/>
      <c r="ER169" s="201"/>
      <c r="ES169" s="201"/>
    </row>
    <row r="170" spans="17:149" s="146" customFormat="1">
      <c r="Q170" s="145"/>
      <c r="R170" s="145"/>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1"/>
      <c r="BW170" s="201"/>
      <c r="BX170" s="201"/>
      <c r="BY170" s="201"/>
      <c r="BZ170" s="201"/>
      <c r="CA170" s="201"/>
      <c r="CB170" s="201"/>
      <c r="CC170" s="201"/>
      <c r="CD170" s="201"/>
      <c r="CE170" s="201"/>
      <c r="CF170" s="201"/>
      <c r="CG170" s="201"/>
      <c r="CH170" s="201"/>
      <c r="CI170" s="201"/>
      <c r="CJ170" s="201"/>
      <c r="CK170" s="201"/>
      <c r="CL170" s="201"/>
      <c r="CM170" s="201"/>
      <c r="CN170" s="201"/>
      <c r="CO170" s="201"/>
      <c r="CP170" s="201"/>
      <c r="CQ170" s="201"/>
      <c r="CR170" s="201"/>
      <c r="CS170" s="201"/>
      <c r="CT170" s="201"/>
      <c r="CU170" s="201"/>
      <c r="CV170" s="201"/>
      <c r="CW170" s="201"/>
      <c r="CX170" s="201"/>
      <c r="CY170" s="201"/>
      <c r="CZ170" s="201"/>
      <c r="DA170" s="201"/>
      <c r="DB170" s="201"/>
      <c r="DC170" s="201"/>
      <c r="DD170" s="201"/>
      <c r="DE170" s="201"/>
      <c r="DF170" s="201"/>
      <c r="DG170" s="201"/>
      <c r="DH170" s="201"/>
      <c r="DI170" s="201"/>
      <c r="DJ170" s="201"/>
      <c r="DK170" s="201"/>
      <c r="DL170" s="201"/>
      <c r="DM170" s="201"/>
      <c r="DN170" s="201"/>
      <c r="DO170" s="201"/>
      <c r="DP170" s="201"/>
      <c r="DQ170" s="201"/>
      <c r="DR170" s="201"/>
      <c r="DS170" s="201"/>
      <c r="DT170" s="201"/>
      <c r="DU170" s="201"/>
      <c r="DV170" s="201"/>
      <c r="DW170" s="201"/>
      <c r="DX170" s="201"/>
      <c r="DY170" s="201"/>
      <c r="DZ170" s="201"/>
      <c r="EA170" s="201"/>
      <c r="EB170" s="201"/>
      <c r="EC170" s="201"/>
      <c r="ED170" s="201"/>
      <c r="EE170" s="201"/>
      <c r="EF170" s="201"/>
      <c r="EG170" s="201"/>
      <c r="EH170" s="201"/>
      <c r="EI170" s="201"/>
      <c r="EJ170" s="201"/>
      <c r="EK170" s="201"/>
      <c r="EL170" s="201"/>
      <c r="EM170" s="201"/>
      <c r="EN170" s="201"/>
      <c r="EO170" s="201"/>
      <c r="EP170" s="201"/>
      <c r="EQ170" s="201"/>
      <c r="ER170" s="201"/>
      <c r="ES170" s="201"/>
    </row>
    <row r="171" spans="17:149" s="146" customFormat="1">
      <c r="Q171" s="145"/>
      <c r="R171" s="145"/>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1"/>
      <c r="BV171" s="201"/>
      <c r="BW171" s="201"/>
      <c r="BX171" s="201"/>
      <c r="BY171" s="201"/>
      <c r="BZ171" s="201"/>
      <c r="CA171" s="201"/>
      <c r="CB171" s="201"/>
      <c r="CC171" s="201"/>
      <c r="CD171" s="201"/>
      <c r="CE171" s="201"/>
      <c r="CF171" s="201"/>
      <c r="CG171" s="201"/>
      <c r="CH171" s="201"/>
      <c r="CI171" s="201"/>
      <c r="CJ171" s="201"/>
      <c r="CK171" s="201"/>
      <c r="CL171" s="201"/>
      <c r="CM171" s="201"/>
      <c r="CN171" s="201"/>
      <c r="CO171" s="201"/>
      <c r="CP171" s="201"/>
      <c r="CQ171" s="201"/>
      <c r="CR171" s="201"/>
      <c r="CS171" s="201"/>
      <c r="CT171" s="201"/>
      <c r="CU171" s="201"/>
      <c r="CV171" s="201"/>
      <c r="CW171" s="201"/>
      <c r="CX171" s="201"/>
      <c r="CY171" s="201"/>
      <c r="CZ171" s="201"/>
      <c r="DA171" s="201"/>
      <c r="DB171" s="201"/>
      <c r="DC171" s="201"/>
      <c r="DD171" s="201"/>
      <c r="DE171" s="201"/>
      <c r="DF171" s="201"/>
      <c r="DG171" s="201"/>
      <c r="DH171" s="201"/>
      <c r="DI171" s="201"/>
      <c r="DJ171" s="201"/>
      <c r="DK171" s="201"/>
      <c r="DL171" s="201"/>
      <c r="DM171" s="201"/>
      <c r="DN171" s="201"/>
      <c r="DO171" s="201"/>
      <c r="DP171" s="201"/>
      <c r="DQ171" s="201"/>
      <c r="DR171" s="201"/>
      <c r="DS171" s="201"/>
      <c r="DT171" s="201"/>
      <c r="DU171" s="201"/>
      <c r="DV171" s="201"/>
      <c r="DW171" s="201"/>
      <c r="DX171" s="201"/>
      <c r="DY171" s="201"/>
      <c r="DZ171" s="201"/>
      <c r="EA171" s="201"/>
      <c r="EB171" s="201"/>
      <c r="EC171" s="201"/>
      <c r="ED171" s="201"/>
      <c r="EE171" s="201"/>
      <c r="EF171" s="201"/>
      <c r="EG171" s="201"/>
      <c r="EH171" s="201"/>
      <c r="EI171" s="201"/>
      <c r="EJ171" s="201"/>
      <c r="EK171" s="201"/>
      <c r="EL171" s="201"/>
      <c r="EM171" s="201"/>
      <c r="EN171" s="201"/>
      <c r="EO171" s="201"/>
      <c r="EP171" s="201"/>
      <c r="EQ171" s="201"/>
      <c r="ER171" s="201"/>
      <c r="ES171" s="201"/>
    </row>
    <row r="172" spans="17:149" s="146" customFormat="1">
      <c r="Q172" s="145"/>
      <c r="R172" s="145"/>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1"/>
      <c r="BR172" s="201"/>
      <c r="BS172" s="201"/>
      <c r="BT172" s="201"/>
      <c r="BU172" s="201"/>
      <c r="BV172" s="201"/>
      <c r="BW172" s="201"/>
      <c r="BX172" s="201"/>
      <c r="BY172" s="201"/>
      <c r="BZ172" s="201"/>
      <c r="CA172" s="201"/>
      <c r="CB172" s="201"/>
      <c r="CC172" s="201"/>
      <c r="CD172" s="201"/>
      <c r="CE172" s="201"/>
      <c r="CF172" s="201"/>
      <c r="CG172" s="201"/>
      <c r="CH172" s="201"/>
      <c r="CI172" s="201"/>
      <c r="CJ172" s="201"/>
      <c r="CK172" s="201"/>
      <c r="CL172" s="201"/>
      <c r="CM172" s="201"/>
      <c r="CN172" s="201"/>
      <c r="CO172" s="201"/>
      <c r="CP172" s="201"/>
      <c r="CQ172" s="201"/>
      <c r="CR172" s="201"/>
      <c r="CS172" s="201"/>
      <c r="CT172" s="201"/>
      <c r="CU172" s="201"/>
      <c r="CV172" s="201"/>
      <c r="CW172" s="201"/>
      <c r="CX172" s="201"/>
      <c r="CY172" s="201"/>
      <c r="CZ172" s="201"/>
      <c r="DA172" s="201"/>
      <c r="DB172" s="201"/>
      <c r="DC172" s="201"/>
      <c r="DD172" s="201"/>
      <c r="DE172" s="201"/>
      <c r="DF172" s="201"/>
      <c r="DG172" s="201"/>
      <c r="DH172" s="201"/>
      <c r="DI172" s="201"/>
      <c r="DJ172" s="201"/>
      <c r="DK172" s="201"/>
      <c r="DL172" s="201"/>
      <c r="DM172" s="201"/>
      <c r="DN172" s="201"/>
      <c r="DO172" s="201"/>
      <c r="DP172" s="201"/>
      <c r="DQ172" s="201"/>
      <c r="DR172" s="201"/>
      <c r="DS172" s="201"/>
      <c r="DT172" s="201"/>
      <c r="DU172" s="201"/>
      <c r="DV172" s="201"/>
      <c r="DW172" s="201"/>
      <c r="DX172" s="201"/>
      <c r="DY172" s="201"/>
      <c r="DZ172" s="201"/>
      <c r="EA172" s="201"/>
      <c r="EB172" s="201"/>
      <c r="EC172" s="201"/>
      <c r="ED172" s="201"/>
      <c r="EE172" s="201"/>
      <c r="EF172" s="201"/>
      <c r="EG172" s="201"/>
      <c r="EH172" s="201"/>
      <c r="EI172" s="201"/>
      <c r="EJ172" s="201"/>
      <c r="EK172" s="201"/>
      <c r="EL172" s="201"/>
      <c r="EM172" s="201"/>
      <c r="EN172" s="201"/>
      <c r="EO172" s="201"/>
      <c r="EP172" s="201"/>
      <c r="EQ172" s="201"/>
      <c r="ER172" s="201"/>
      <c r="ES172" s="201"/>
    </row>
    <row r="173" spans="17:149" s="146" customFormat="1">
      <c r="Q173" s="145"/>
      <c r="R173" s="145"/>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c r="BP173" s="201"/>
      <c r="BQ173" s="201"/>
      <c r="BR173" s="201"/>
      <c r="BS173" s="201"/>
      <c r="BT173" s="201"/>
      <c r="BU173" s="201"/>
      <c r="BV173" s="201"/>
      <c r="BW173" s="201"/>
      <c r="BX173" s="201"/>
      <c r="BY173" s="201"/>
      <c r="BZ173" s="201"/>
      <c r="CA173" s="201"/>
      <c r="CB173" s="201"/>
      <c r="CC173" s="201"/>
      <c r="CD173" s="201"/>
      <c r="CE173" s="201"/>
      <c r="CF173" s="201"/>
      <c r="CG173" s="201"/>
      <c r="CH173" s="201"/>
      <c r="CI173" s="201"/>
      <c r="CJ173" s="201"/>
      <c r="CK173" s="201"/>
      <c r="CL173" s="201"/>
      <c r="CM173" s="201"/>
      <c r="CN173" s="201"/>
      <c r="CO173" s="201"/>
      <c r="CP173" s="201"/>
      <c r="CQ173" s="201"/>
      <c r="CR173" s="201"/>
      <c r="CS173" s="201"/>
      <c r="CT173" s="201"/>
      <c r="CU173" s="201"/>
      <c r="CV173" s="201"/>
      <c r="CW173" s="201"/>
      <c r="CX173" s="201"/>
      <c r="CY173" s="201"/>
      <c r="CZ173" s="201"/>
      <c r="DA173" s="201"/>
      <c r="DB173" s="201"/>
      <c r="DC173" s="201"/>
      <c r="DD173" s="201"/>
      <c r="DE173" s="201"/>
      <c r="DF173" s="201"/>
      <c r="DG173" s="201"/>
      <c r="DH173" s="201"/>
      <c r="DI173" s="201"/>
      <c r="DJ173" s="201"/>
      <c r="DK173" s="201"/>
      <c r="DL173" s="201"/>
      <c r="DM173" s="201"/>
      <c r="DN173" s="201"/>
      <c r="DO173" s="201"/>
      <c r="DP173" s="201"/>
      <c r="DQ173" s="201"/>
      <c r="DR173" s="201"/>
      <c r="DS173" s="201"/>
      <c r="DT173" s="201"/>
      <c r="DU173" s="201"/>
      <c r="DV173" s="201"/>
      <c r="DW173" s="201"/>
      <c r="DX173" s="201"/>
      <c r="DY173" s="201"/>
      <c r="DZ173" s="201"/>
      <c r="EA173" s="201"/>
      <c r="EB173" s="201"/>
      <c r="EC173" s="201"/>
      <c r="ED173" s="201"/>
      <c r="EE173" s="201"/>
      <c r="EF173" s="201"/>
      <c r="EG173" s="201"/>
      <c r="EH173" s="201"/>
      <c r="EI173" s="201"/>
      <c r="EJ173" s="201"/>
      <c r="EK173" s="201"/>
      <c r="EL173" s="201"/>
      <c r="EM173" s="201"/>
      <c r="EN173" s="201"/>
      <c r="EO173" s="201"/>
      <c r="EP173" s="201"/>
      <c r="EQ173" s="201"/>
      <c r="ER173" s="201"/>
      <c r="ES173" s="201"/>
    </row>
    <row r="174" spans="17:149" s="146" customFormat="1">
      <c r="Q174" s="145"/>
      <c r="R174" s="145"/>
      <c r="AR174" s="201"/>
      <c r="AS174" s="201"/>
      <c r="AT174" s="201"/>
      <c r="AU174" s="201"/>
      <c r="AV174" s="201"/>
      <c r="AW174" s="201"/>
      <c r="AX174" s="201"/>
      <c r="AY174" s="201"/>
      <c r="AZ174" s="201"/>
      <c r="BA174" s="201"/>
      <c r="BB174" s="201"/>
      <c r="BC174" s="201"/>
      <c r="BD174" s="201"/>
      <c r="BE174" s="201"/>
      <c r="BF174" s="201"/>
      <c r="BG174" s="201"/>
      <c r="BH174" s="201"/>
      <c r="BI174" s="201"/>
      <c r="BJ174" s="201"/>
      <c r="BK174" s="201"/>
      <c r="BL174" s="201"/>
      <c r="BM174" s="201"/>
      <c r="BN174" s="201"/>
      <c r="BO174" s="201"/>
      <c r="BP174" s="201"/>
      <c r="BQ174" s="201"/>
      <c r="BR174" s="201"/>
      <c r="BS174" s="201"/>
      <c r="BT174" s="201"/>
      <c r="BU174" s="201"/>
      <c r="BV174" s="201"/>
      <c r="BW174" s="201"/>
      <c r="BX174" s="201"/>
      <c r="BY174" s="201"/>
      <c r="BZ174" s="201"/>
      <c r="CA174" s="201"/>
      <c r="CB174" s="201"/>
      <c r="CC174" s="201"/>
      <c r="CD174" s="201"/>
      <c r="CE174" s="201"/>
      <c r="CF174" s="201"/>
      <c r="CG174" s="201"/>
      <c r="CH174" s="201"/>
      <c r="CI174" s="201"/>
      <c r="CJ174" s="201"/>
      <c r="CK174" s="201"/>
      <c r="CL174" s="201"/>
      <c r="CM174" s="201"/>
      <c r="CN174" s="201"/>
      <c r="CO174" s="201"/>
      <c r="CP174" s="201"/>
      <c r="CQ174" s="201"/>
      <c r="CR174" s="201"/>
      <c r="CS174" s="201"/>
      <c r="CT174" s="201"/>
      <c r="CU174" s="201"/>
      <c r="CV174" s="201"/>
      <c r="CW174" s="201"/>
      <c r="CX174" s="201"/>
      <c r="CY174" s="201"/>
      <c r="CZ174" s="201"/>
      <c r="DA174" s="201"/>
      <c r="DB174" s="201"/>
      <c r="DC174" s="201"/>
      <c r="DD174" s="201"/>
      <c r="DE174" s="201"/>
      <c r="DF174" s="201"/>
      <c r="DG174" s="201"/>
      <c r="DH174" s="201"/>
      <c r="DI174" s="201"/>
      <c r="DJ174" s="201"/>
      <c r="DK174" s="201"/>
      <c r="DL174" s="201"/>
      <c r="DM174" s="201"/>
      <c r="DN174" s="201"/>
      <c r="DO174" s="201"/>
      <c r="DP174" s="201"/>
      <c r="DQ174" s="201"/>
      <c r="DR174" s="201"/>
      <c r="DS174" s="201"/>
      <c r="DT174" s="201"/>
      <c r="DU174" s="201"/>
      <c r="DV174" s="201"/>
      <c r="DW174" s="201"/>
      <c r="DX174" s="201"/>
      <c r="DY174" s="201"/>
      <c r="DZ174" s="201"/>
      <c r="EA174" s="201"/>
      <c r="EB174" s="201"/>
      <c r="EC174" s="201"/>
      <c r="ED174" s="201"/>
      <c r="EE174" s="201"/>
      <c r="EF174" s="201"/>
      <c r="EG174" s="201"/>
      <c r="EH174" s="201"/>
      <c r="EI174" s="201"/>
      <c r="EJ174" s="201"/>
      <c r="EK174" s="201"/>
      <c r="EL174" s="201"/>
      <c r="EM174" s="201"/>
      <c r="EN174" s="201"/>
      <c r="EO174" s="201"/>
      <c r="EP174" s="201"/>
      <c r="EQ174" s="201"/>
      <c r="ER174" s="201"/>
      <c r="ES174" s="201"/>
    </row>
    <row r="175" spans="17:149" s="146" customFormat="1">
      <c r="Q175" s="145"/>
      <c r="R175" s="145"/>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c r="BP175" s="201"/>
      <c r="BQ175" s="201"/>
      <c r="BR175" s="201"/>
      <c r="BS175" s="201"/>
      <c r="BT175" s="201"/>
      <c r="BU175" s="201"/>
      <c r="BV175" s="201"/>
      <c r="BW175" s="201"/>
      <c r="BX175" s="201"/>
      <c r="BY175" s="201"/>
      <c r="BZ175" s="201"/>
      <c r="CA175" s="201"/>
      <c r="CB175" s="201"/>
      <c r="CC175" s="201"/>
      <c r="CD175" s="201"/>
      <c r="CE175" s="201"/>
      <c r="CF175" s="201"/>
      <c r="CG175" s="201"/>
      <c r="CH175" s="201"/>
      <c r="CI175" s="201"/>
      <c r="CJ175" s="201"/>
      <c r="CK175" s="201"/>
      <c r="CL175" s="201"/>
      <c r="CM175" s="201"/>
      <c r="CN175" s="201"/>
      <c r="CO175" s="201"/>
      <c r="CP175" s="201"/>
      <c r="CQ175" s="201"/>
      <c r="CR175" s="201"/>
      <c r="CS175" s="201"/>
      <c r="CT175" s="201"/>
      <c r="CU175" s="201"/>
      <c r="CV175" s="201"/>
      <c r="CW175" s="201"/>
      <c r="CX175" s="201"/>
      <c r="CY175" s="201"/>
      <c r="CZ175" s="201"/>
      <c r="DA175" s="201"/>
      <c r="DB175" s="201"/>
      <c r="DC175" s="201"/>
      <c r="DD175" s="201"/>
      <c r="DE175" s="201"/>
      <c r="DF175" s="201"/>
      <c r="DG175" s="201"/>
      <c r="DH175" s="201"/>
      <c r="DI175" s="201"/>
      <c r="DJ175" s="201"/>
      <c r="DK175" s="201"/>
      <c r="DL175" s="201"/>
      <c r="DM175" s="201"/>
      <c r="DN175" s="201"/>
      <c r="DO175" s="201"/>
      <c r="DP175" s="201"/>
      <c r="DQ175" s="201"/>
      <c r="DR175" s="201"/>
      <c r="DS175" s="201"/>
      <c r="DT175" s="201"/>
      <c r="DU175" s="201"/>
      <c r="DV175" s="201"/>
      <c r="DW175" s="201"/>
      <c r="DX175" s="201"/>
      <c r="DY175" s="201"/>
      <c r="DZ175" s="201"/>
      <c r="EA175" s="201"/>
      <c r="EB175" s="201"/>
      <c r="EC175" s="201"/>
      <c r="ED175" s="201"/>
      <c r="EE175" s="201"/>
      <c r="EF175" s="201"/>
      <c r="EG175" s="201"/>
      <c r="EH175" s="201"/>
      <c r="EI175" s="201"/>
      <c r="EJ175" s="201"/>
      <c r="EK175" s="201"/>
      <c r="EL175" s="201"/>
      <c r="EM175" s="201"/>
      <c r="EN175" s="201"/>
      <c r="EO175" s="201"/>
      <c r="EP175" s="201"/>
      <c r="EQ175" s="201"/>
      <c r="ER175" s="201"/>
      <c r="ES175" s="201"/>
    </row>
    <row r="176" spans="17:149" s="146" customFormat="1">
      <c r="Q176" s="145"/>
      <c r="R176" s="145"/>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1"/>
      <c r="BW176" s="201"/>
      <c r="BX176" s="201"/>
      <c r="BY176" s="201"/>
      <c r="BZ176" s="201"/>
      <c r="CA176" s="201"/>
      <c r="CB176" s="201"/>
      <c r="CC176" s="201"/>
      <c r="CD176" s="201"/>
      <c r="CE176" s="201"/>
      <c r="CF176" s="201"/>
      <c r="CG176" s="201"/>
      <c r="CH176" s="201"/>
      <c r="CI176" s="201"/>
      <c r="CJ176" s="201"/>
      <c r="CK176" s="201"/>
      <c r="CL176" s="201"/>
      <c r="CM176" s="201"/>
      <c r="CN176" s="201"/>
      <c r="CO176" s="201"/>
      <c r="CP176" s="201"/>
      <c r="CQ176" s="201"/>
      <c r="CR176" s="201"/>
      <c r="CS176" s="201"/>
      <c r="CT176" s="201"/>
      <c r="CU176" s="201"/>
      <c r="CV176" s="201"/>
      <c r="CW176" s="201"/>
      <c r="CX176" s="201"/>
      <c r="CY176" s="201"/>
      <c r="CZ176" s="201"/>
      <c r="DA176" s="201"/>
      <c r="DB176" s="201"/>
      <c r="DC176" s="201"/>
      <c r="DD176" s="201"/>
      <c r="DE176" s="201"/>
      <c r="DF176" s="201"/>
      <c r="DG176" s="201"/>
      <c r="DH176" s="201"/>
      <c r="DI176" s="201"/>
      <c r="DJ176" s="201"/>
      <c r="DK176" s="201"/>
      <c r="DL176" s="201"/>
      <c r="DM176" s="201"/>
      <c r="DN176" s="201"/>
      <c r="DO176" s="201"/>
      <c r="DP176" s="201"/>
      <c r="DQ176" s="201"/>
      <c r="DR176" s="201"/>
      <c r="DS176" s="201"/>
      <c r="DT176" s="201"/>
      <c r="DU176" s="201"/>
      <c r="DV176" s="201"/>
      <c r="DW176" s="201"/>
      <c r="DX176" s="201"/>
      <c r="DY176" s="201"/>
      <c r="DZ176" s="201"/>
      <c r="EA176" s="201"/>
      <c r="EB176" s="201"/>
      <c r="EC176" s="201"/>
      <c r="ED176" s="201"/>
      <c r="EE176" s="201"/>
      <c r="EF176" s="201"/>
      <c r="EG176" s="201"/>
      <c r="EH176" s="201"/>
      <c r="EI176" s="201"/>
      <c r="EJ176" s="201"/>
      <c r="EK176" s="201"/>
      <c r="EL176" s="201"/>
      <c r="EM176" s="201"/>
      <c r="EN176" s="201"/>
      <c r="EO176" s="201"/>
      <c r="EP176" s="201"/>
      <c r="EQ176" s="201"/>
      <c r="ER176" s="201"/>
      <c r="ES176" s="201"/>
    </row>
    <row r="177" spans="17:149" s="146" customFormat="1">
      <c r="Q177" s="145"/>
      <c r="R177" s="145"/>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1"/>
      <c r="BW177" s="201"/>
      <c r="BX177" s="201"/>
      <c r="BY177" s="201"/>
      <c r="BZ177" s="201"/>
      <c r="CA177" s="201"/>
      <c r="CB177" s="201"/>
      <c r="CC177" s="201"/>
      <c r="CD177" s="201"/>
      <c r="CE177" s="201"/>
      <c r="CF177" s="201"/>
      <c r="CG177" s="201"/>
      <c r="CH177" s="201"/>
      <c r="CI177" s="201"/>
      <c r="CJ177" s="201"/>
      <c r="CK177" s="201"/>
      <c r="CL177" s="201"/>
      <c r="CM177" s="201"/>
      <c r="CN177" s="201"/>
      <c r="CO177" s="201"/>
      <c r="CP177" s="201"/>
      <c r="CQ177" s="201"/>
      <c r="CR177" s="201"/>
      <c r="CS177" s="201"/>
      <c r="CT177" s="201"/>
      <c r="CU177" s="201"/>
      <c r="CV177" s="201"/>
      <c r="CW177" s="201"/>
      <c r="CX177" s="201"/>
      <c r="CY177" s="201"/>
      <c r="CZ177" s="201"/>
      <c r="DA177" s="201"/>
      <c r="DB177" s="201"/>
      <c r="DC177" s="201"/>
      <c r="DD177" s="201"/>
      <c r="DE177" s="201"/>
      <c r="DF177" s="201"/>
      <c r="DG177" s="201"/>
      <c r="DH177" s="201"/>
      <c r="DI177" s="201"/>
      <c r="DJ177" s="201"/>
      <c r="DK177" s="201"/>
      <c r="DL177" s="201"/>
      <c r="DM177" s="201"/>
      <c r="DN177" s="201"/>
      <c r="DO177" s="201"/>
      <c r="DP177" s="201"/>
      <c r="DQ177" s="201"/>
      <c r="DR177" s="201"/>
      <c r="DS177" s="201"/>
      <c r="DT177" s="201"/>
      <c r="DU177" s="201"/>
      <c r="DV177" s="201"/>
      <c r="DW177" s="201"/>
      <c r="DX177" s="201"/>
      <c r="DY177" s="201"/>
      <c r="DZ177" s="201"/>
      <c r="EA177" s="201"/>
      <c r="EB177" s="201"/>
      <c r="EC177" s="201"/>
      <c r="ED177" s="201"/>
      <c r="EE177" s="201"/>
      <c r="EF177" s="201"/>
      <c r="EG177" s="201"/>
      <c r="EH177" s="201"/>
      <c r="EI177" s="201"/>
      <c r="EJ177" s="201"/>
      <c r="EK177" s="201"/>
      <c r="EL177" s="201"/>
      <c r="EM177" s="201"/>
      <c r="EN177" s="201"/>
      <c r="EO177" s="201"/>
      <c r="EP177" s="201"/>
      <c r="EQ177" s="201"/>
      <c r="ER177" s="201"/>
      <c r="ES177" s="201"/>
    </row>
    <row r="178" spans="17:149" s="146" customFormat="1">
      <c r="Q178" s="145"/>
      <c r="R178" s="145"/>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1"/>
      <c r="BW178" s="201"/>
      <c r="BX178" s="201"/>
      <c r="BY178" s="201"/>
      <c r="BZ178" s="201"/>
      <c r="CA178" s="201"/>
      <c r="CB178" s="201"/>
      <c r="CC178" s="201"/>
      <c r="CD178" s="201"/>
      <c r="CE178" s="201"/>
      <c r="CF178" s="201"/>
      <c r="CG178" s="201"/>
      <c r="CH178" s="201"/>
      <c r="CI178" s="201"/>
      <c r="CJ178" s="201"/>
      <c r="CK178" s="201"/>
      <c r="CL178" s="201"/>
      <c r="CM178" s="201"/>
      <c r="CN178" s="201"/>
      <c r="CO178" s="201"/>
      <c r="CP178" s="201"/>
      <c r="CQ178" s="201"/>
      <c r="CR178" s="201"/>
      <c r="CS178" s="201"/>
      <c r="CT178" s="201"/>
      <c r="CU178" s="201"/>
      <c r="CV178" s="201"/>
      <c r="CW178" s="201"/>
      <c r="CX178" s="201"/>
      <c r="CY178" s="201"/>
      <c r="CZ178" s="201"/>
      <c r="DA178" s="201"/>
      <c r="DB178" s="201"/>
      <c r="DC178" s="201"/>
      <c r="DD178" s="201"/>
      <c r="DE178" s="201"/>
      <c r="DF178" s="201"/>
      <c r="DG178" s="201"/>
      <c r="DH178" s="201"/>
      <c r="DI178" s="201"/>
      <c r="DJ178" s="201"/>
      <c r="DK178" s="201"/>
      <c r="DL178" s="201"/>
      <c r="DM178" s="201"/>
      <c r="DN178" s="201"/>
      <c r="DO178" s="201"/>
      <c r="DP178" s="201"/>
      <c r="DQ178" s="201"/>
      <c r="DR178" s="201"/>
      <c r="DS178" s="201"/>
      <c r="DT178" s="201"/>
      <c r="DU178" s="201"/>
      <c r="DV178" s="201"/>
      <c r="DW178" s="201"/>
      <c r="DX178" s="201"/>
      <c r="DY178" s="201"/>
      <c r="DZ178" s="201"/>
      <c r="EA178" s="201"/>
      <c r="EB178" s="201"/>
      <c r="EC178" s="201"/>
      <c r="ED178" s="201"/>
      <c r="EE178" s="201"/>
      <c r="EF178" s="201"/>
      <c r="EG178" s="201"/>
      <c r="EH178" s="201"/>
      <c r="EI178" s="201"/>
      <c r="EJ178" s="201"/>
      <c r="EK178" s="201"/>
      <c r="EL178" s="201"/>
      <c r="EM178" s="201"/>
      <c r="EN178" s="201"/>
      <c r="EO178" s="201"/>
      <c r="EP178" s="201"/>
      <c r="EQ178" s="201"/>
      <c r="ER178" s="201"/>
      <c r="ES178" s="201"/>
    </row>
    <row r="179" spans="17:149" s="146" customFormat="1">
      <c r="Q179" s="145"/>
      <c r="R179" s="145"/>
      <c r="AR179" s="201"/>
      <c r="AS179" s="201"/>
      <c r="AT179" s="201"/>
      <c r="AU179" s="201"/>
      <c r="AV179" s="201"/>
      <c r="AW179" s="201"/>
      <c r="AX179" s="201"/>
      <c r="AY179" s="201"/>
      <c r="AZ179" s="201"/>
      <c r="BA179" s="201"/>
      <c r="BB179" s="201"/>
      <c r="BC179" s="201"/>
      <c r="BD179" s="201"/>
      <c r="BE179" s="201"/>
      <c r="BF179" s="201"/>
      <c r="BG179" s="201"/>
      <c r="BH179" s="201"/>
      <c r="BI179" s="201"/>
      <c r="BJ179" s="201"/>
      <c r="BK179" s="201"/>
      <c r="BL179" s="201"/>
      <c r="BM179" s="201"/>
      <c r="BN179" s="201"/>
      <c r="BO179" s="201"/>
      <c r="BP179" s="201"/>
      <c r="BQ179" s="201"/>
      <c r="BR179" s="201"/>
      <c r="BS179" s="201"/>
      <c r="BT179" s="201"/>
      <c r="BU179" s="201"/>
      <c r="BV179" s="201"/>
      <c r="BW179" s="201"/>
      <c r="BX179" s="201"/>
      <c r="BY179" s="201"/>
      <c r="BZ179" s="201"/>
      <c r="CA179" s="201"/>
      <c r="CB179" s="201"/>
      <c r="CC179" s="201"/>
      <c r="CD179" s="201"/>
      <c r="CE179" s="201"/>
      <c r="CF179" s="201"/>
      <c r="CG179" s="201"/>
      <c r="CH179" s="201"/>
      <c r="CI179" s="201"/>
      <c r="CJ179" s="201"/>
      <c r="CK179" s="201"/>
      <c r="CL179" s="201"/>
      <c r="CM179" s="201"/>
      <c r="CN179" s="201"/>
      <c r="CO179" s="201"/>
      <c r="CP179" s="201"/>
      <c r="CQ179" s="201"/>
      <c r="CR179" s="201"/>
      <c r="CS179" s="201"/>
      <c r="CT179" s="201"/>
      <c r="CU179" s="201"/>
      <c r="CV179" s="201"/>
      <c r="CW179" s="201"/>
      <c r="CX179" s="201"/>
      <c r="CY179" s="201"/>
      <c r="CZ179" s="201"/>
      <c r="DA179" s="201"/>
      <c r="DB179" s="201"/>
      <c r="DC179" s="201"/>
      <c r="DD179" s="201"/>
      <c r="DE179" s="201"/>
      <c r="DF179" s="201"/>
      <c r="DG179" s="201"/>
      <c r="DH179" s="201"/>
      <c r="DI179" s="201"/>
      <c r="DJ179" s="201"/>
      <c r="DK179" s="201"/>
      <c r="DL179" s="201"/>
      <c r="DM179" s="201"/>
      <c r="DN179" s="201"/>
      <c r="DO179" s="201"/>
      <c r="DP179" s="201"/>
      <c r="DQ179" s="201"/>
      <c r="DR179" s="201"/>
      <c r="DS179" s="201"/>
      <c r="DT179" s="201"/>
      <c r="DU179" s="201"/>
      <c r="DV179" s="201"/>
      <c r="DW179" s="201"/>
      <c r="DX179" s="201"/>
      <c r="DY179" s="201"/>
      <c r="DZ179" s="201"/>
      <c r="EA179" s="201"/>
      <c r="EB179" s="201"/>
      <c r="EC179" s="201"/>
      <c r="ED179" s="201"/>
      <c r="EE179" s="201"/>
      <c r="EF179" s="201"/>
      <c r="EG179" s="201"/>
      <c r="EH179" s="201"/>
      <c r="EI179" s="201"/>
      <c r="EJ179" s="201"/>
      <c r="EK179" s="201"/>
      <c r="EL179" s="201"/>
      <c r="EM179" s="201"/>
      <c r="EN179" s="201"/>
      <c r="EO179" s="201"/>
      <c r="EP179" s="201"/>
      <c r="EQ179" s="201"/>
      <c r="ER179" s="201"/>
      <c r="ES179" s="201"/>
    </row>
    <row r="180" spans="17:149" s="146" customFormat="1">
      <c r="Q180" s="145"/>
      <c r="R180" s="145"/>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01"/>
      <c r="BW180" s="201"/>
      <c r="BX180" s="201"/>
      <c r="BY180" s="201"/>
      <c r="BZ180" s="201"/>
      <c r="CA180" s="201"/>
      <c r="CB180" s="201"/>
      <c r="CC180" s="201"/>
      <c r="CD180" s="201"/>
      <c r="CE180" s="201"/>
      <c r="CF180" s="201"/>
      <c r="CG180" s="201"/>
      <c r="CH180" s="201"/>
      <c r="CI180" s="201"/>
      <c r="CJ180" s="201"/>
      <c r="CK180" s="201"/>
      <c r="CL180" s="201"/>
      <c r="CM180" s="201"/>
      <c r="CN180" s="201"/>
      <c r="CO180" s="201"/>
      <c r="CP180" s="201"/>
      <c r="CQ180" s="201"/>
      <c r="CR180" s="201"/>
      <c r="CS180" s="201"/>
      <c r="CT180" s="201"/>
      <c r="CU180" s="201"/>
      <c r="CV180" s="201"/>
      <c r="CW180" s="201"/>
      <c r="CX180" s="201"/>
      <c r="CY180" s="201"/>
      <c r="CZ180" s="201"/>
      <c r="DA180" s="201"/>
      <c r="DB180" s="201"/>
      <c r="DC180" s="201"/>
      <c r="DD180" s="201"/>
      <c r="DE180" s="201"/>
      <c r="DF180" s="201"/>
      <c r="DG180" s="201"/>
      <c r="DH180" s="201"/>
      <c r="DI180" s="201"/>
      <c r="DJ180" s="201"/>
      <c r="DK180" s="201"/>
      <c r="DL180" s="201"/>
      <c r="DM180" s="201"/>
      <c r="DN180" s="201"/>
      <c r="DO180" s="201"/>
      <c r="DP180" s="201"/>
      <c r="DQ180" s="201"/>
      <c r="DR180" s="201"/>
      <c r="DS180" s="201"/>
      <c r="DT180" s="201"/>
      <c r="DU180" s="201"/>
      <c r="DV180" s="201"/>
      <c r="DW180" s="201"/>
      <c r="DX180" s="201"/>
      <c r="DY180" s="201"/>
      <c r="DZ180" s="201"/>
      <c r="EA180" s="201"/>
      <c r="EB180" s="201"/>
      <c r="EC180" s="201"/>
      <c r="ED180" s="201"/>
      <c r="EE180" s="201"/>
      <c r="EF180" s="201"/>
      <c r="EG180" s="201"/>
      <c r="EH180" s="201"/>
      <c r="EI180" s="201"/>
      <c r="EJ180" s="201"/>
      <c r="EK180" s="201"/>
      <c r="EL180" s="201"/>
      <c r="EM180" s="201"/>
      <c r="EN180" s="201"/>
      <c r="EO180" s="201"/>
      <c r="EP180" s="201"/>
      <c r="EQ180" s="201"/>
      <c r="ER180" s="201"/>
      <c r="ES180" s="201"/>
    </row>
    <row r="181" spans="17:149" s="146" customFormat="1">
      <c r="Q181" s="145"/>
      <c r="R181" s="145"/>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01"/>
      <c r="BW181" s="201"/>
      <c r="BX181" s="201"/>
      <c r="BY181" s="201"/>
      <c r="BZ181" s="201"/>
      <c r="CA181" s="201"/>
      <c r="CB181" s="201"/>
      <c r="CC181" s="201"/>
      <c r="CD181" s="201"/>
      <c r="CE181" s="201"/>
      <c r="CF181" s="201"/>
      <c r="CG181" s="201"/>
      <c r="CH181" s="201"/>
      <c r="CI181" s="201"/>
      <c r="CJ181" s="201"/>
      <c r="CK181" s="201"/>
      <c r="CL181" s="201"/>
      <c r="CM181" s="201"/>
      <c r="CN181" s="201"/>
      <c r="CO181" s="201"/>
      <c r="CP181" s="201"/>
      <c r="CQ181" s="201"/>
      <c r="CR181" s="201"/>
      <c r="CS181" s="201"/>
      <c r="CT181" s="201"/>
      <c r="CU181" s="201"/>
      <c r="CV181" s="201"/>
      <c r="CW181" s="201"/>
      <c r="CX181" s="201"/>
      <c r="CY181" s="201"/>
      <c r="CZ181" s="201"/>
      <c r="DA181" s="201"/>
      <c r="DB181" s="201"/>
      <c r="DC181" s="201"/>
      <c r="DD181" s="201"/>
      <c r="DE181" s="201"/>
      <c r="DF181" s="201"/>
      <c r="DG181" s="201"/>
      <c r="DH181" s="201"/>
      <c r="DI181" s="201"/>
      <c r="DJ181" s="201"/>
      <c r="DK181" s="201"/>
      <c r="DL181" s="201"/>
      <c r="DM181" s="201"/>
      <c r="DN181" s="201"/>
      <c r="DO181" s="201"/>
      <c r="DP181" s="201"/>
      <c r="DQ181" s="201"/>
      <c r="DR181" s="201"/>
      <c r="DS181" s="201"/>
      <c r="DT181" s="201"/>
      <c r="DU181" s="201"/>
      <c r="DV181" s="201"/>
      <c r="DW181" s="201"/>
      <c r="DX181" s="201"/>
      <c r="DY181" s="201"/>
      <c r="DZ181" s="201"/>
      <c r="EA181" s="201"/>
      <c r="EB181" s="201"/>
      <c r="EC181" s="201"/>
      <c r="ED181" s="201"/>
      <c r="EE181" s="201"/>
      <c r="EF181" s="201"/>
      <c r="EG181" s="201"/>
      <c r="EH181" s="201"/>
      <c r="EI181" s="201"/>
      <c r="EJ181" s="201"/>
      <c r="EK181" s="201"/>
      <c r="EL181" s="201"/>
      <c r="EM181" s="201"/>
      <c r="EN181" s="201"/>
      <c r="EO181" s="201"/>
      <c r="EP181" s="201"/>
      <c r="EQ181" s="201"/>
      <c r="ER181" s="201"/>
      <c r="ES181" s="201"/>
    </row>
    <row r="182" spans="17:149" s="146" customFormat="1">
      <c r="Q182" s="145"/>
      <c r="R182" s="145"/>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01"/>
      <c r="BW182" s="201"/>
      <c r="BX182" s="201"/>
      <c r="BY182" s="201"/>
      <c r="BZ182" s="201"/>
      <c r="CA182" s="201"/>
      <c r="CB182" s="201"/>
      <c r="CC182" s="201"/>
      <c r="CD182" s="201"/>
      <c r="CE182" s="201"/>
      <c r="CF182" s="201"/>
      <c r="CG182" s="201"/>
      <c r="CH182" s="201"/>
      <c r="CI182" s="201"/>
      <c r="CJ182" s="201"/>
      <c r="CK182" s="201"/>
      <c r="CL182" s="201"/>
      <c r="CM182" s="201"/>
      <c r="CN182" s="201"/>
      <c r="CO182" s="201"/>
      <c r="CP182" s="201"/>
      <c r="CQ182" s="201"/>
      <c r="CR182" s="201"/>
      <c r="CS182" s="201"/>
      <c r="CT182" s="201"/>
      <c r="CU182" s="201"/>
      <c r="CV182" s="201"/>
      <c r="CW182" s="201"/>
      <c r="CX182" s="201"/>
      <c r="CY182" s="201"/>
      <c r="CZ182" s="201"/>
      <c r="DA182" s="201"/>
      <c r="DB182" s="201"/>
      <c r="DC182" s="201"/>
      <c r="DD182" s="201"/>
      <c r="DE182" s="201"/>
      <c r="DF182" s="201"/>
      <c r="DG182" s="201"/>
      <c r="DH182" s="201"/>
      <c r="DI182" s="201"/>
      <c r="DJ182" s="201"/>
      <c r="DK182" s="201"/>
      <c r="DL182" s="201"/>
      <c r="DM182" s="201"/>
      <c r="DN182" s="201"/>
      <c r="DO182" s="201"/>
      <c r="DP182" s="201"/>
      <c r="DQ182" s="201"/>
      <c r="DR182" s="201"/>
      <c r="DS182" s="201"/>
      <c r="DT182" s="201"/>
      <c r="DU182" s="201"/>
      <c r="DV182" s="201"/>
      <c r="DW182" s="201"/>
      <c r="DX182" s="201"/>
      <c r="DY182" s="201"/>
      <c r="DZ182" s="201"/>
      <c r="EA182" s="201"/>
      <c r="EB182" s="201"/>
      <c r="EC182" s="201"/>
      <c r="ED182" s="201"/>
      <c r="EE182" s="201"/>
      <c r="EF182" s="201"/>
      <c r="EG182" s="201"/>
      <c r="EH182" s="201"/>
      <c r="EI182" s="201"/>
      <c r="EJ182" s="201"/>
      <c r="EK182" s="201"/>
      <c r="EL182" s="201"/>
      <c r="EM182" s="201"/>
      <c r="EN182" s="201"/>
      <c r="EO182" s="201"/>
      <c r="EP182" s="201"/>
      <c r="EQ182" s="201"/>
      <c r="ER182" s="201"/>
      <c r="ES182" s="201"/>
    </row>
    <row r="183" spans="17:149" s="146" customFormat="1">
      <c r="Q183" s="145"/>
      <c r="R183" s="145"/>
      <c r="AR183" s="201"/>
      <c r="AS183" s="201"/>
      <c r="AT183" s="201"/>
      <c r="AU183" s="201"/>
      <c r="AV183" s="201"/>
      <c r="AW183" s="201"/>
      <c r="AX183" s="201"/>
      <c r="AY183" s="201"/>
      <c r="AZ183" s="201"/>
      <c r="BA183" s="201"/>
      <c r="BB183" s="201"/>
      <c r="BC183" s="201"/>
      <c r="BD183" s="201"/>
      <c r="BE183" s="201"/>
      <c r="BF183" s="201"/>
      <c r="BG183" s="201"/>
      <c r="BH183" s="201"/>
      <c r="BI183" s="201"/>
      <c r="BJ183" s="201"/>
      <c r="BK183" s="201"/>
      <c r="BL183" s="201"/>
      <c r="BM183" s="201"/>
      <c r="BN183" s="201"/>
      <c r="BO183" s="201"/>
      <c r="BP183" s="201"/>
      <c r="BQ183" s="201"/>
      <c r="BR183" s="201"/>
      <c r="BS183" s="201"/>
      <c r="BT183" s="201"/>
      <c r="BU183" s="201"/>
      <c r="BV183" s="201"/>
      <c r="BW183" s="201"/>
      <c r="BX183" s="201"/>
      <c r="BY183" s="201"/>
      <c r="BZ183" s="201"/>
      <c r="CA183" s="201"/>
      <c r="CB183" s="201"/>
      <c r="CC183" s="201"/>
      <c r="CD183" s="201"/>
      <c r="CE183" s="201"/>
      <c r="CF183" s="201"/>
      <c r="CG183" s="201"/>
      <c r="CH183" s="201"/>
      <c r="CI183" s="201"/>
      <c r="CJ183" s="201"/>
      <c r="CK183" s="201"/>
      <c r="CL183" s="201"/>
      <c r="CM183" s="201"/>
      <c r="CN183" s="201"/>
      <c r="CO183" s="201"/>
      <c r="CP183" s="201"/>
      <c r="CQ183" s="201"/>
      <c r="CR183" s="201"/>
      <c r="CS183" s="201"/>
      <c r="CT183" s="201"/>
      <c r="CU183" s="201"/>
      <c r="CV183" s="201"/>
      <c r="CW183" s="201"/>
      <c r="CX183" s="201"/>
      <c r="CY183" s="201"/>
      <c r="CZ183" s="201"/>
      <c r="DA183" s="201"/>
      <c r="DB183" s="201"/>
      <c r="DC183" s="201"/>
      <c r="DD183" s="201"/>
      <c r="DE183" s="201"/>
      <c r="DF183" s="201"/>
      <c r="DG183" s="201"/>
      <c r="DH183" s="201"/>
      <c r="DI183" s="201"/>
      <c r="DJ183" s="201"/>
      <c r="DK183" s="201"/>
      <c r="DL183" s="201"/>
      <c r="DM183" s="201"/>
      <c r="DN183" s="201"/>
      <c r="DO183" s="201"/>
      <c r="DP183" s="201"/>
      <c r="DQ183" s="201"/>
      <c r="DR183" s="201"/>
      <c r="DS183" s="201"/>
      <c r="DT183" s="201"/>
      <c r="DU183" s="201"/>
      <c r="DV183" s="201"/>
      <c r="DW183" s="201"/>
      <c r="DX183" s="201"/>
      <c r="DY183" s="201"/>
      <c r="DZ183" s="201"/>
      <c r="EA183" s="201"/>
      <c r="EB183" s="201"/>
      <c r="EC183" s="201"/>
      <c r="ED183" s="201"/>
      <c r="EE183" s="201"/>
      <c r="EF183" s="201"/>
      <c r="EG183" s="201"/>
      <c r="EH183" s="201"/>
      <c r="EI183" s="201"/>
      <c r="EJ183" s="201"/>
      <c r="EK183" s="201"/>
      <c r="EL183" s="201"/>
      <c r="EM183" s="201"/>
      <c r="EN183" s="201"/>
      <c r="EO183" s="201"/>
      <c r="EP183" s="201"/>
      <c r="EQ183" s="201"/>
      <c r="ER183" s="201"/>
      <c r="ES183" s="201"/>
    </row>
    <row r="184" spans="17:149" s="146" customFormat="1">
      <c r="Q184" s="145"/>
      <c r="R184" s="145"/>
      <c r="AR184" s="201"/>
      <c r="AS184" s="201"/>
      <c r="AT184" s="201"/>
      <c r="AU184" s="201"/>
      <c r="AV184" s="201"/>
      <c r="AW184" s="201"/>
      <c r="AX184" s="201"/>
      <c r="AY184" s="201"/>
      <c r="AZ184" s="201"/>
      <c r="BA184" s="201"/>
      <c r="BB184" s="201"/>
      <c r="BC184" s="201"/>
      <c r="BD184" s="201"/>
      <c r="BE184" s="201"/>
      <c r="BF184" s="201"/>
      <c r="BG184" s="201"/>
      <c r="BH184" s="201"/>
      <c r="BI184" s="201"/>
      <c r="BJ184" s="201"/>
      <c r="BK184" s="201"/>
      <c r="BL184" s="201"/>
      <c r="BM184" s="201"/>
      <c r="BN184" s="201"/>
      <c r="BO184" s="201"/>
      <c r="BP184" s="201"/>
      <c r="BQ184" s="201"/>
      <c r="BR184" s="201"/>
      <c r="BS184" s="201"/>
      <c r="BT184" s="201"/>
      <c r="BU184" s="201"/>
      <c r="BV184" s="201"/>
      <c r="BW184" s="201"/>
      <c r="BX184" s="201"/>
      <c r="BY184" s="201"/>
      <c r="BZ184" s="201"/>
      <c r="CA184" s="201"/>
      <c r="CB184" s="201"/>
      <c r="CC184" s="201"/>
      <c r="CD184" s="201"/>
      <c r="CE184" s="201"/>
      <c r="CF184" s="201"/>
      <c r="CG184" s="201"/>
      <c r="CH184" s="201"/>
      <c r="CI184" s="201"/>
      <c r="CJ184" s="201"/>
      <c r="CK184" s="201"/>
      <c r="CL184" s="201"/>
      <c r="CM184" s="201"/>
      <c r="CN184" s="201"/>
      <c r="CO184" s="201"/>
      <c r="CP184" s="201"/>
      <c r="CQ184" s="201"/>
      <c r="CR184" s="201"/>
      <c r="CS184" s="201"/>
      <c r="CT184" s="201"/>
      <c r="CU184" s="201"/>
      <c r="CV184" s="201"/>
      <c r="CW184" s="201"/>
      <c r="CX184" s="201"/>
      <c r="CY184" s="201"/>
      <c r="CZ184" s="201"/>
      <c r="DA184" s="201"/>
      <c r="DB184" s="201"/>
      <c r="DC184" s="201"/>
      <c r="DD184" s="201"/>
      <c r="DE184" s="201"/>
      <c r="DF184" s="201"/>
      <c r="DG184" s="201"/>
      <c r="DH184" s="201"/>
      <c r="DI184" s="201"/>
      <c r="DJ184" s="201"/>
      <c r="DK184" s="201"/>
      <c r="DL184" s="201"/>
      <c r="DM184" s="201"/>
      <c r="DN184" s="201"/>
      <c r="DO184" s="201"/>
      <c r="DP184" s="201"/>
      <c r="DQ184" s="201"/>
      <c r="DR184" s="201"/>
      <c r="DS184" s="201"/>
      <c r="DT184" s="201"/>
      <c r="DU184" s="201"/>
      <c r="DV184" s="201"/>
      <c r="DW184" s="201"/>
      <c r="DX184" s="201"/>
      <c r="DY184" s="201"/>
      <c r="DZ184" s="201"/>
      <c r="EA184" s="201"/>
      <c r="EB184" s="201"/>
      <c r="EC184" s="201"/>
      <c r="ED184" s="201"/>
      <c r="EE184" s="201"/>
      <c r="EF184" s="201"/>
      <c r="EG184" s="201"/>
      <c r="EH184" s="201"/>
      <c r="EI184" s="201"/>
      <c r="EJ184" s="201"/>
      <c r="EK184" s="201"/>
      <c r="EL184" s="201"/>
      <c r="EM184" s="201"/>
      <c r="EN184" s="201"/>
      <c r="EO184" s="201"/>
      <c r="EP184" s="201"/>
      <c r="EQ184" s="201"/>
      <c r="ER184" s="201"/>
      <c r="ES184" s="201"/>
    </row>
    <row r="185" spans="17:149" s="146" customFormat="1">
      <c r="Q185" s="145"/>
      <c r="R185" s="145"/>
      <c r="AR185" s="201"/>
      <c r="AS185" s="201"/>
      <c r="AT185" s="201"/>
      <c r="AU185" s="201"/>
      <c r="AV185" s="201"/>
      <c r="AW185" s="201"/>
      <c r="AX185" s="201"/>
      <c r="AY185" s="201"/>
      <c r="AZ185" s="201"/>
      <c r="BA185" s="201"/>
      <c r="BB185" s="201"/>
      <c r="BC185" s="201"/>
      <c r="BD185" s="201"/>
      <c r="BE185" s="201"/>
      <c r="BF185" s="201"/>
      <c r="BG185" s="201"/>
      <c r="BH185" s="201"/>
      <c r="BI185" s="201"/>
      <c r="BJ185" s="201"/>
      <c r="BK185" s="201"/>
      <c r="BL185" s="201"/>
      <c r="BM185" s="201"/>
      <c r="BN185" s="201"/>
      <c r="BO185" s="201"/>
      <c r="BP185" s="201"/>
      <c r="BQ185" s="201"/>
      <c r="BR185" s="201"/>
      <c r="BS185" s="201"/>
      <c r="BT185" s="201"/>
      <c r="BU185" s="201"/>
      <c r="BV185" s="201"/>
      <c r="BW185" s="201"/>
      <c r="BX185" s="201"/>
      <c r="BY185" s="201"/>
      <c r="BZ185" s="201"/>
      <c r="CA185" s="201"/>
      <c r="CB185" s="201"/>
      <c r="CC185" s="201"/>
      <c r="CD185" s="201"/>
      <c r="CE185" s="201"/>
      <c r="CF185" s="201"/>
      <c r="CG185" s="201"/>
      <c r="CH185" s="201"/>
      <c r="CI185" s="201"/>
      <c r="CJ185" s="201"/>
      <c r="CK185" s="201"/>
      <c r="CL185" s="201"/>
      <c r="CM185" s="201"/>
      <c r="CN185" s="201"/>
      <c r="CO185" s="201"/>
      <c r="CP185" s="201"/>
      <c r="CQ185" s="201"/>
      <c r="CR185" s="201"/>
      <c r="CS185" s="201"/>
      <c r="CT185" s="201"/>
      <c r="CU185" s="201"/>
      <c r="CV185" s="201"/>
      <c r="CW185" s="201"/>
      <c r="CX185" s="201"/>
      <c r="CY185" s="201"/>
      <c r="CZ185" s="201"/>
      <c r="DA185" s="201"/>
      <c r="DB185" s="201"/>
      <c r="DC185" s="201"/>
      <c r="DD185" s="201"/>
      <c r="DE185" s="201"/>
      <c r="DF185" s="201"/>
      <c r="DG185" s="201"/>
      <c r="DH185" s="201"/>
      <c r="DI185" s="201"/>
      <c r="DJ185" s="201"/>
      <c r="DK185" s="201"/>
      <c r="DL185" s="201"/>
      <c r="DM185" s="201"/>
      <c r="DN185" s="201"/>
      <c r="DO185" s="201"/>
      <c r="DP185" s="201"/>
      <c r="DQ185" s="201"/>
      <c r="DR185" s="201"/>
      <c r="DS185" s="201"/>
      <c r="DT185" s="201"/>
      <c r="DU185" s="201"/>
      <c r="DV185" s="201"/>
      <c r="DW185" s="201"/>
      <c r="DX185" s="201"/>
      <c r="DY185" s="201"/>
      <c r="DZ185" s="201"/>
      <c r="EA185" s="201"/>
      <c r="EB185" s="201"/>
      <c r="EC185" s="201"/>
      <c r="ED185" s="201"/>
      <c r="EE185" s="201"/>
      <c r="EF185" s="201"/>
      <c r="EG185" s="201"/>
      <c r="EH185" s="201"/>
      <c r="EI185" s="201"/>
      <c r="EJ185" s="201"/>
      <c r="EK185" s="201"/>
      <c r="EL185" s="201"/>
      <c r="EM185" s="201"/>
      <c r="EN185" s="201"/>
      <c r="EO185" s="201"/>
      <c r="EP185" s="201"/>
      <c r="EQ185" s="201"/>
      <c r="ER185" s="201"/>
      <c r="ES185" s="201"/>
    </row>
    <row r="186" spans="17:149" s="146" customFormat="1">
      <c r="Q186" s="145"/>
      <c r="R186" s="145"/>
      <c r="AR186" s="201"/>
      <c r="AS186" s="201"/>
      <c r="AT186" s="201"/>
      <c r="AU186" s="201"/>
      <c r="AV186" s="201"/>
      <c r="AW186" s="201"/>
      <c r="AX186" s="201"/>
      <c r="AY186" s="201"/>
      <c r="AZ186" s="201"/>
      <c r="BA186" s="201"/>
      <c r="BB186" s="201"/>
      <c r="BC186" s="201"/>
      <c r="BD186" s="201"/>
      <c r="BE186" s="201"/>
      <c r="BF186" s="201"/>
      <c r="BG186" s="201"/>
      <c r="BH186" s="201"/>
      <c r="BI186" s="201"/>
      <c r="BJ186" s="201"/>
      <c r="BK186" s="201"/>
      <c r="BL186" s="201"/>
      <c r="BM186" s="201"/>
      <c r="BN186" s="201"/>
      <c r="BO186" s="201"/>
      <c r="BP186" s="201"/>
      <c r="BQ186" s="201"/>
      <c r="BR186" s="201"/>
      <c r="BS186" s="201"/>
      <c r="BT186" s="201"/>
      <c r="BU186" s="201"/>
      <c r="BV186" s="201"/>
      <c r="BW186" s="201"/>
      <c r="BX186" s="201"/>
      <c r="BY186" s="201"/>
      <c r="BZ186" s="201"/>
      <c r="CA186" s="201"/>
      <c r="CB186" s="201"/>
      <c r="CC186" s="201"/>
      <c r="CD186" s="201"/>
      <c r="CE186" s="201"/>
      <c r="CF186" s="201"/>
      <c r="CG186" s="201"/>
      <c r="CH186" s="201"/>
      <c r="CI186" s="201"/>
      <c r="CJ186" s="201"/>
      <c r="CK186" s="201"/>
      <c r="CL186" s="201"/>
      <c r="CM186" s="201"/>
      <c r="CN186" s="201"/>
      <c r="CO186" s="201"/>
      <c r="CP186" s="201"/>
      <c r="CQ186" s="201"/>
      <c r="CR186" s="201"/>
      <c r="CS186" s="201"/>
      <c r="CT186" s="201"/>
      <c r="CU186" s="201"/>
      <c r="CV186" s="201"/>
      <c r="CW186" s="201"/>
      <c r="CX186" s="201"/>
      <c r="CY186" s="201"/>
      <c r="CZ186" s="201"/>
      <c r="DA186" s="201"/>
      <c r="DB186" s="201"/>
      <c r="DC186" s="201"/>
      <c r="DD186" s="201"/>
      <c r="DE186" s="201"/>
      <c r="DF186" s="201"/>
      <c r="DG186" s="201"/>
      <c r="DH186" s="201"/>
      <c r="DI186" s="201"/>
      <c r="DJ186" s="201"/>
      <c r="DK186" s="201"/>
      <c r="DL186" s="201"/>
      <c r="DM186" s="201"/>
      <c r="DN186" s="201"/>
      <c r="DO186" s="201"/>
      <c r="DP186" s="201"/>
      <c r="DQ186" s="201"/>
      <c r="DR186" s="201"/>
      <c r="DS186" s="201"/>
      <c r="DT186" s="201"/>
      <c r="DU186" s="201"/>
      <c r="DV186" s="201"/>
      <c r="DW186" s="201"/>
      <c r="DX186" s="201"/>
      <c r="DY186" s="201"/>
      <c r="DZ186" s="201"/>
      <c r="EA186" s="201"/>
      <c r="EB186" s="201"/>
      <c r="EC186" s="201"/>
      <c r="ED186" s="201"/>
      <c r="EE186" s="201"/>
      <c r="EF186" s="201"/>
      <c r="EG186" s="201"/>
      <c r="EH186" s="201"/>
      <c r="EI186" s="201"/>
      <c r="EJ186" s="201"/>
      <c r="EK186" s="201"/>
      <c r="EL186" s="201"/>
      <c r="EM186" s="201"/>
      <c r="EN186" s="201"/>
      <c r="EO186" s="201"/>
      <c r="EP186" s="201"/>
      <c r="EQ186" s="201"/>
      <c r="ER186" s="201"/>
      <c r="ES186" s="201"/>
    </row>
    <row r="187" spans="17:149" s="146" customFormat="1">
      <c r="Q187" s="145"/>
      <c r="R187" s="145"/>
      <c r="AR187" s="201"/>
      <c r="AS187" s="201"/>
      <c r="AT187" s="201"/>
      <c r="AU187" s="201"/>
      <c r="AV187" s="201"/>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1"/>
      <c r="CC187" s="201"/>
      <c r="CD187" s="201"/>
      <c r="CE187" s="201"/>
      <c r="CF187" s="201"/>
      <c r="CG187" s="201"/>
      <c r="CH187" s="201"/>
      <c r="CI187" s="201"/>
      <c r="CJ187" s="201"/>
      <c r="CK187" s="201"/>
      <c r="CL187" s="201"/>
      <c r="CM187" s="201"/>
      <c r="CN187" s="201"/>
      <c r="CO187" s="201"/>
      <c r="CP187" s="201"/>
      <c r="CQ187" s="201"/>
      <c r="CR187" s="201"/>
      <c r="CS187" s="201"/>
      <c r="CT187" s="201"/>
      <c r="CU187" s="201"/>
      <c r="CV187" s="201"/>
      <c r="CW187" s="201"/>
      <c r="CX187" s="201"/>
      <c r="CY187" s="201"/>
      <c r="CZ187" s="201"/>
      <c r="DA187" s="201"/>
      <c r="DB187" s="201"/>
      <c r="DC187" s="201"/>
      <c r="DD187" s="201"/>
      <c r="DE187" s="201"/>
      <c r="DF187" s="201"/>
      <c r="DG187" s="201"/>
      <c r="DH187" s="201"/>
      <c r="DI187" s="201"/>
      <c r="DJ187" s="201"/>
      <c r="DK187" s="201"/>
      <c r="DL187" s="201"/>
      <c r="DM187" s="201"/>
      <c r="DN187" s="201"/>
      <c r="DO187" s="201"/>
      <c r="DP187" s="201"/>
      <c r="DQ187" s="201"/>
      <c r="DR187" s="201"/>
      <c r="DS187" s="201"/>
      <c r="DT187" s="201"/>
      <c r="DU187" s="201"/>
      <c r="DV187" s="201"/>
      <c r="DW187" s="201"/>
      <c r="DX187" s="201"/>
      <c r="DY187" s="201"/>
      <c r="DZ187" s="201"/>
      <c r="EA187" s="201"/>
      <c r="EB187" s="201"/>
      <c r="EC187" s="201"/>
      <c r="ED187" s="201"/>
      <c r="EE187" s="201"/>
      <c r="EF187" s="201"/>
      <c r="EG187" s="201"/>
      <c r="EH187" s="201"/>
      <c r="EI187" s="201"/>
      <c r="EJ187" s="201"/>
      <c r="EK187" s="201"/>
      <c r="EL187" s="201"/>
      <c r="EM187" s="201"/>
      <c r="EN187" s="201"/>
      <c r="EO187" s="201"/>
      <c r="EP187" s="201"/>
      <c r="EQ187" s="201"/>
      <c r="ER187" s="201"/>
      <c r="ES187" s="201"/>
    </row>
    <row r="188" spans="17:149" s="146" customFormat="1">
      <c r="Q188" s="145"/>
      <c r="R188" s="145"/>
      <c r="AR188" s="201"/>
      <c r="AS188" s="201"/>
      <c r="AT188" s="201"/>
      <c r="AU188" s="201"/>
      <c r="AV188" s="201"/>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1"/>
      <c r="CC188" s="201"/>
      <c r="CD188" s="201"/>
      <c r="CE188" s="201"/>
      <c r="CF188" s="201"/>
      <c r="CG188" s="201"/>
      <c r="CH188" s="201"/>
      <c r="CI188" s="201"/>
      <c r="CJ188" s="201"/>
      <c r="CK188" s="201"/>
      <c r="CL188" s="201"/>
      <c r="CM188" s="201"/>
      <c r="CN188" s="201"/>
      <c r="CO188" s="201"/>
      <c r="CP188" s="201"/>
      <c r="CQ188" s="201"/>
      <c r="CR188" s="201"/>
      <c r="CS188" s="201"/>
      <c r="CT188" s="201"/>
      <c r="CU188" s="201"/>
      <c r="CV188" s="201"/>
      <c r="CW188" s="201"/>
      <c r="CX188" s="201"/>
      <c r="CY188" s="201"/>
      <c r="CZ188" s="201"/>
      <c r="DA188" s="201"/>
      <c r="DB188" s="201"/>
      <c r="DC188" s="201"/>
      <c r="DD188" s="201"/>
      <c r="DE188" s="201"/>
      <c r="DF188" s="201"/>
      <c r="DG188" s="201"/>
      <c r="DH188" s="201"/>
      <c r="DI188" s="201"/>
      <c r="DJ188" s="201"/>
      <c r="DK188" s="201"/>
      <c r="DL188" s="201"/>
      <c r="DM188" s="201"/>
      <c r="DN188" s="201"/>
      <c r="DO188" s="201"/>
      <c r="DP188" s="201"/>
      <c r="DQ188" s="201"/>
      <c r="DR188" s="201"/>
      <c r="DS188" s="201"/>
      <c r="DT188" s="201"/>
      <c r="DU188" s="201"/>
      <c r="DV188" s="201"/>
      <c r="DW188" s="201"/>
      <c r="DX188" s="201"/>
      <c r="DY188" s="201"/>
      <c r="DZ188" s="201"/>
      <c r="EA188" s="201"/>
      <c r="EB188" s="201"/>
      <c r="EC188" s="201"/>
      <c r="ED188" s="201"/>
      <c r="EE188" s="201"/>
      <c r="EF188" s="201"/>
      <c r="EG188" s="201"/>
      <c r="EH188" s="201"/>
      <c r="EI188" s="201"/>
      <c r="EJ188" s="201"/>
      <c r="EK188" s="201"/>
      <c r="EL188" s="201"/>
      <c r="EM188" s="201"/>
      <c r="EN188" s="201"/>
      <c r="EO188" s="201"/>
      <c r="EP188" s="201"/>
      <c r="EQ188" s="201"/>
      <c r="ER188" s="201"/>
      <c r="ES188" s="201"/>
    </row>
    <row r="189" spans="17:149" s="146" customFormat="1">
      <c r="Q189" s="145"/>
      <c r="R189" s="145"/>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1"/>
      <c r="CC189" s="201"/>
      <c r="CD189" s="201"/>
      <c r="CE189" s="201"/>
      <c r="CF189" s="201"/>
      <c r="CG189" s="201"/>
      <c r="CH189" s="201"/>
      <c r="CI189" s="201"/>
      <c r="CJ189" s="201"/>
      <c r="CK189" s="201"/>
      <c r="CL189" s="201"/>
      <c r="CM189" s="201"/>
      <c r="CN189" s="201"/>
      <c r="CO189" s="201"/>
      <c r="CP189" s="201"/>
      <c r="CQ189" s="201"/>
      <c r="CR189" s="201"/>
      <c r="CS189" s="201"/>
      <c r="CT189" s="201"/>
      <c r="CU189" s="201"/>
      <c r="CV189" s="201"/>
      <c r="CW189" s="201"/>
      <c r="CX189" s="201"/>
      <c r="CY189" s="201"/>
      <c r="CZ189" s="201"/>
      <c r="DA189" s="201"/>
      <c r="DB189" s="201"/>
      <c r="DC189" s="201"/>
      <c r="DD189" s="201"/>
      <c r="DE189" s="201"/>
      <c r="DF189" s="201"/>
      <c r="DG189" s="201"/>
      <c r="DH189" s="201"/>
      <c r="DI189" s="201"/>
      <c r="DJ189" s="201"/>
      <c r="DK189" s="201"/>
      <c r="DL189" s="201"/>
      <c r="DM189" s="201"/>
      <c r="DN189" s="201"/>
      <c r="DO189" s="201"/>
      <c r="DP189" s="201"/>
      <c r="DQ189" s="201"/>
      <c r="DR189" s="201"/>
      <c r="DS189" s="201"/>
      <c r="DT189" s="201"/>
      <c r="DU189" s="201"/>
      <c r="DV189" s="201"/>
      <c r="DW189" s="201"/>
      <c r="DX189" s="201"/>
      <c r="DY189" s="201"/>
      <c r="DZ189" s="201"/>
      <c r="EA189" s="201"/>
      <c r="EB189" s="201"/>
      <c r="EC189" s="201"/>
      <c r="ED189" s="201"/>
      <c r="EE189" s="201"/>
      <c r="EF189" s="201"/>
      <c r="EG189" s="201"/>
      <c r="EH189" s="201"/>
      <c r="EI189" s="201"/>
      <c r="EJ189" s="201"/>
      <c r="EK189" s="201"/>
      <c r="EL189" s="201"/>
      <c r="EM189" s="201"/>
      <c r="EN189" s="201"/>
      <c r="EO189" s="201"/>
      <c r="EP189" s="201"/>
      <c r="EQ189" s="201"/>
      <c r="ER189" s="201"/>
      <c r="ES189" s="201"/>
    </row>
    <row r="190" spans="17:149" s="146" customFormat="1">
      <c r="Q190" s="145"/>
      <c r="R190" s="145"/>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1"/>
      <c r="CC190" s="201"/>
      <c r="CD190" s="201"/>
      <c r="CE190" s="201"/>
      <c r="CF190" s="201"/>
      <c r="CG190" s="201"/>
      <c r="CH190" s="201"/>
      <c r="CI190" s="201"/>
      <c r="CJ190" s="201"/>
      <c r="CK190" s="201"/>
      <c r="CL190" s="201"/>
      <c r="CM190" s="201"/>
      <c r="CN190" s="201"/>
      <c r="CO190" s="201"/>
      <c r="CP190" s="201"/>
      <c r="CQ190" s="201"/>
      <c r="CR190" s="201"/>
      <c r="CS190" s="201"/>
      <c r="CT190" s="201"/>
      <c r="CU190" s="201"/>
      <c r="CV190" s="201"/>
      <c r="CW190" s="201"/>
      <c r="CX190" s="201"/>
      <c r="CY190" s="201"/>
      <c r="CZ190" s="201"/>
      <c r="DA190" s="201"/>
      <c r="DB190" s="201"/>
      <c r="DC190" s="201"/>
      <c r="DD190" s="201"/>
      <c r="DE190" s="201"/>
      <c r="DF190" s="201"/>
      <c r="DG190" s="201"/>
      <c r="DH190" s="201"/>
      <c r="DI190" s="201"/>
      <c r="DJ190" s="201"/>
      <c r="DK190" s="201"/>
      <c r="DL190" s="201"/>
      <c r="DM190" s="201"/>
      <c r="DN190" s="201"/>
      <c r="DO190" s="201"/>
      <c r="DP190" s="201"/>
      <c r="DQ190" s="201"/>
      <c r="DR190" s="201"/>
      <c r="DS190" s="201"/>
      <c r="DT190" s="201"/>
      <c r="DU190" s="201"/>
      <c r="DV190" s="201"/>
      <c r="DW190" s="201"/>
      <c r="DX190" s="201"/>
      <c r="DY190" s="201"/>
      <c r="DZ190" s="201"/>
      <c r="EA190" s="201"/>
      <c r="EB190" s="201"/>
      <c r="EC190" s="201"/>
      <c r="ED190" s="201"/>
      <c r="EE190" s="201"/>
      <c r="EF190" s="201"/>
      <c r="EG190" s="201"/>
      <c r="EH190" s="201"/>
      <c r="EI190" s="201"/>
      <c r="EJ190" s="201"/>
      <c r="EK190" s="201"/>
      <c r="EL190" s="201"/>
      <c r="EM190" s="201"/>
      <c r="EN190" s="201"/>
      <c r="EO190" s="201"/>
      <c r="EP190" s="201"/>
      <c r="EQ190" s="201"/>
      <c r="ER190" s="201"/>
      <c r="ES190" s="201"/>
    </row>
    <row r="191" spans="17:149" s="146" customFormat="1">
      <c r="Q191" s="145"/>
      <c r="R191" s="145"/>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1"/>
      <c r="CC191" s="201"/>
      <c r="CD191" s="201"/>
      <c r="CE191" s="201"/>
      <c r="CF191" s="201"/>
      <c r="CG191" s="201"/>
      <c r="CH191" s="201"/>
      <c r="CI191" s="201"/>
      <c r="CJ191" s="201"/>
      <c r="CK191" s="201"/>
      <c r="CL191" s="201"/>
      <c r="CM191" s="201"/>
      <c r="CN191" s="201"/>
      <c r="CO191" s="201"/>
      <c r="CP191" s="201"/>
      <c r="CQ191" s="201"/>
      <c r="CR191" s="201"/>
      <c r="CS191" s="201"/>
      <c r="CT191" s="201"/>
      <c r="CU191" s="201"/>
      <c r="CV191" s="201"/>
      <c r="CW191" s="201"/>
      <c r="CX191" s="201"/>
      <c r="CY191" s="201"/>
      <c r="CZ191" s="201"/>
      <c r="DA191" s="201"/>
      <c r="DB191" s="201"/>
      <c r="DC191" s="201"/>
      <c r="DD191" s="201"/>
      <c r="DE191" s="201"/>
      <c r="DF191" s="201"/>
      <c r="DG191" s="201"/>
      <c r="DH191" s="201"/>
      <c r="DI191" s="201"/>
      <c r="DJ191" s="201"/>
      <c r="DK191" s="201"/>
      <c r="DL191" s="201"/>
      <c r="DM191" s="201"/>
      <c r="DN191" s="201"/>
      <c r="DO191" s="201"/>
      <c r="DP191" s="201"/>
      <c r="DQ191" s="201"/>
      <c r="DR191" s="201"/>
      <c r="DS191" s="201"/>
      <c r="DT191" s="201"/>
      <c r="DU191" s="201"/>
      <c r="DV191" s="201"/>
      <c r="DW191" s="201"/>
      <c r="DX191" s="201"/>
      <c r="DY191" s="201"/>
      <c r="DZ191" s="201"/>
      <c r="EA191" s="201"/>
      <c r="EB191" s="201"/>
      <c r="EC191" s="201"/>
      <c r="ED191" s="201"/>
      <c r="EE191" s="201"/>
      <c r="EF191" s="201"/>
      <c r="EG191" s="201"/>
      <c r="EH191" s="201"/>
      <c r="EI191" s="201"/>
      <c r="EJ191" s="201"/>
      <c r="EK191" s="201"/>
      <c r="EL191" s="201"/>
      <c r="EM191" s="201"/>
      <c r="EN191" s="201"/>
      <c r="EO191" s="201"/>
      <c r="EP191" s="201"/>
      <c r="EQ191" s="201"/>
      <c r="ER191" s="201"/>
      <c r="ES191" s="201"/>
    </row>
    <row r="192" spans="17:149" s="146" customFormat="1">
      <c r="Q192" s="145"/>
      <c r="R192" s="145"/>
      <c r="AR192" s="201"/>
      <c r="AS192" s="201"/>
      <c r="AT192" s="201"/>
      <c r="AU192" s="201"/>
      <c r="AV192" s="201"/>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1"/>
      <c r="CC192" s="201"/>
      <c r="CD192" s="201"/>
      <c r="CE192" s="201"/>
      <c r="CF192" s="201"/>
      <c r="CG192" s="201"/>
      <c r="CH192" s="201"/>
      <c r="CI192" s="201"/>
      <c r="CJ192" s="201"/>
      <c r="CK192" s="201"/>
      <c r="CL192" s="201"/>
      <c r="CM192" s="201"/>
      <c r="CN192" s="201"/>
      <c r="CO192" s="201"/>
      <c r="CP192" s="201"/>
      <c r="CQ192" s="201"/>
      <c r="CR192" s="201"/>
      <c r="CS192" s="201"/>
      <c r="CT192" s="201"/>
      <c r="CU192" s="201"/>
      <c r="CV192" s="201"/>
      <c r="CW192" s="201"/>
      <c r="CX192" s="201"/>
      <c r="CY192" s="201"/>
      <c r="CZ192" s="201"/>
      <c r="DA192" s="201"/>
      <c r="DB192" s="201"/>
      <c r="DC192" s="201"/>
      <c r="DD192" s="201"/>
      <c r="DE192" s="201"/>
      <c r="DF192" s="201"/>
      <c r="DG192" s="201"/>
      <c r="DH192" s="201"/>
      <c r="DI192" s="201"/>
      <c r="DJ192" s="201"/>
      <c r="DK192" s="201"/>
      <c r="DL192" s="201"/>
      <c r="DM192" s="201"/>
      <c r="DN192" s="201"/>
      <c r="DO192" s="201"/>
      <c r="DP192" s="201"/>
      <c r="DQ192" s="201"/>
      <c r="DR192" s="201"/>
      <c r="DS192" s="201"/>
      <c r="DT192" s="201"/>
      <c r="DU192" s="201"/>
      <c r="DV192" s="201"/>
      <c r="DW192" s="201"/>
      <c r="DX192" s="201"/>
      <c r="DY192" s="201"/>
      <c r="DZ192" s="201"/>
      <c r="EA192" s="201"/>
      <c r="EB192" s="201"/>
      <c r="EC192" s="201"/>
      <c r="ED192" s="201"/>
      <c r="EE192" s="201"/>
      <c r="EF192" s="201"/>
      <c r="EG192" s="201"/>
      <c r="EH192" s="201"/>
      <c r="EI192" s="201"/>
      <c r="EJ192" s="201"/>
      <c r="EK192" s="201"/>
      <c r="EL192" s="201"/>
      <c r="EM192" s="201"/>
      <c r="EN192" s="201"/>
      <c r="EO192" s="201"/>
      <c r="EP192" s="201"/>
      <c r="EQ192" s="201"/>
      <c r="ER192" s="201"/>
      <c r="ES192" s="201"/>
    </row>
    <row r="193" spans="17:149" s="146" customFormat="1">
      <c r="Q193" s="145"/>
      <c r="R193" s="145"/>
      <c r="AR193" s="201"/>
      <c r="AS193" s="201"/>
      <c r="AT193" s="201"/>
      <c r="AU193" s="201"/>
      <c r="AV193" s="201"/>
      <c r="AW193" s="201"/>
      <c r="AX193" s="201"/>
      <c r="AY193" s="201"/>
      <c r="AZ193" s="201"/>
      <c r="BA193" s="201"/>
      <c r="BB193" s="201"/>
      <c r="BC193" s="201"/>
      <c r="BD193" s="201"/>
      <c r="BE193" s="201"/>
      <c r="BF193" s="201"/>
      <c r="BG193" s="201"/>
      <c r="BH193" s="201"/>
      <c r="BI193" s="201"/>
      <c r="BJ193" s="201"/>
      <c r="BK193" s="201"/>
      <c r="BL193" s="201"/>
      <c r="BM193" s="201"/>
      <c r="BN193" s="201"/>
      <c r="BO193" s="201"/>
      <c r="BP193" s="201"/>
      <c r="BQ193" s="201"/>
      <c r="BR193" s="201"/>
      <c r="BS193" s="201"/>
      <c r="BT193" s="201"/>
      <c r="BU193" s="201"/>
      <c r="BV193" s="201"/>
      <c r="BW193" s="201"/>
      <c r="BX193" s="201"/>
      <c r="BY193" s="201"/>
      <c r="BZ193" s="201"/>
      <c r="CA193" s="201"/>
      <c r="CB193" s="201"/>
      <c r="CC193" s="201"/>
      <c r="CD193" s="201"/>
      <c r="CE193" s="201"/>
      <c r="CF193" s="201"/>
      <c r="CG193" s="201"/>
      <c r="CH193" s="201"/>
      <c r="CI193" s="201"/>
      <c r="CJ193" s="201"/>
      <c r="CK193" s="201"/>
      <c r="CL193" s="201"/>
      <c r="CM193" s="201"/>
      <c r="CN193" s="201"/>
      <c r="CO193" s="201"/>
      <c r="CP193" s="201"/>
      <c r="CQ193" s="201"/>
      <c r="CR193" s="201"/>
      <c r="CS193" s="201"/>
      <c r="CT193" s="201"/>
      <c r="CU193" s="201"/>
      <c r="CV193" s="201"/>
      <c r="CW193" s="201"/>
      <c r="CX193" s="201"/>
      <c r="CY193" s="201"/>
      <c r="CZ193" s="201"/>
      <c r="DA193" s="201"/>
      <c r="DB193" s="201"/>
      <c r="DC193" s="201"/>
      <c r="DD193" s="201"/>
      <c r="DE193" s="201"/>
      <c r="DF193" s="201"/>
      <c r="DG193" s="201"/>
      <c r="DH193" s="201"/>
      <c r="DI193" s="201"/>
      <c r="DJ193" s="201"/>
      <c r="DK193" s="201"/>
      <c r="DL193" s="201"/>
      <c r="DM193" s="201"/>
      <c r="DN193" s="201"/>
      <c r="DO193" s="201"/>
      <c r="DP193" s="201"/>
      <c r="DQ193" s="201"/>
      <c r="DR193" s="201"/>
      <c r="DS193" s="201"/>
      <c r="DT193" s="201"/>
      <c r="DU193" s="201"/>
      <c r="DV193" s="201"/>
      <c r="DW193" s="201"/>
      <c r="DX193" s="201"/>
      <c r="DY193" s="201"/>
      <c r="DZ193" s="201"/>
      <c r="EA193" s="201"/>
      <c r="EB193" s="201"/>
      <c r="EC193" s="201"/>
      <c r="ED193" s="201"/>
      <c r="EE193" s="201"/>
      <c r="EF193" s="201"/>
      <c r="EG193" s="201"/>
      <c r="EH193" s="201"/>
      <c r="EI193" s="201"/>
      <c r="EJ193" s="201"/>
      <c r="EK193" s="201"/>
      <c r="EL193" s="201"/>
      <c r="EM193" s="201"/>
      <c r="EN193" s="201"/>
      <c r="EO193" s="201"/>
      <c r="EP193" s="201"/>
      <c r="EQ193" s="201"/>
      <c r="ER193" s="201"/>
      <c r="ES193" s="201"/>
    </row>
    <row r="194" spans="17:149" s="146" customFormat="1">
      <c r="Q194" s="145"/>
      <c r="R194" s="145"/>
      <c r="AR194" s="201"/>
      <c r="AS194" s="201"/>
      <c r="AT194" s="201"/>
      <c r="AU194" s="201"/>
      <c r="AV194" s="201"/>
      <c r="AW194" s="201"/>
      <c r="AX194" s="201"/>
      <c r="AY194" s="201"/>
      <c r="AZ194" s="201"/>
      <c r="BA194" s="201"/>
      <c r="BB194" s="201"/>
      <c r="BC194" s="201"/>
      <c r="BD194" s="201"/>
      <c r="BE194" s="201"/>
      <c r="BF194" s="201"/>
      <c r="BG194" s="201"/>
      <c r="BH194" s="201"/>
      <c r="BI194" s="201"/>
      <c r="BJ194" s="201"/>
      <c r="BK194" s="201"/>
      <c r="BL194" s="201"/>
      <c r="BM194" s="201"/>
      <c r="BN194" s="201"/>
      <c r="BO194" s="201"/>
      <c r="BP194" s="201"/>
      <c r="BQ194" s="201"/>
      <c r="BR194" s="201"/>
      <c r="BS194" s="201"/>
      <c r="BT194" s="201"/>
      <c r="BU194" s="201"/>
      <c r="BV194" s="201"/>
      <c r="BW194" s="201"/>
      <c r="BX194" s="201"/>
      <c r="BY194" s="201"/>
      <c r="BZ194" s="201"/>
      <c r="CA194" s="201"/>
      <c r="CB194" s="201"/>
      <c r="CC194" s="201"/>
      <c r="CD194" s="201"/>
      <c r="CE194" s="201"/>
      <c r="CF194" s="201"/>
      <c r="CG194" s="201"/>
      <c r="CH194" s="201"/>
      <c r="CI194" s="201"/>
      <c r="CJ194" s="201"/>
      <c r="CK194" s="201"/>
      <c r="CL194" s="201"/>
      <c r="CM194" s="201"/>
      <c r="CN194" s="201"/>
      <c r="CO194" s="201"/>
      <c r="CP194" s="201"/>
      <c r="CQ194" s="201"/>
      <c r="CR194" s="201"/>
      <c r="CS194" s="201"/>
      <c r="CT194" s="201"/>
      <c r="CU194" s="201"/>
      <c r="CV194" s="201"/>
      <c r="CW194" s="201"/>
      <c r="CX194" s="201"/>
      <c r="CY194" s="201"/>
      <c r="CZ194" s="201"/>
      <c r="DA194" s="201"/>
      <c r="DB194" s="201"/>
      <c r="DC194" s="201"/>
      <c r="DD194" s="201"/>
      <c r="DE194" s="201"/>
      <c r="DF194" s="201"/>
      <c r="DG194" s="201"/>
      <c r="DH194" s="201"/>
      <c r="DI194" s="201"/>
      <c r="DJ194" s="201"/>
      <c r="DK194" s="201"/>
      <c r="DL194" s="201"/>
      <c r="DM194" s="201"/>
      <c r="DN194" s="201"/>
      <c r="DO194" s="201"/>
      <c r="DP194" s="201"/>
      <c r="DQ194" s="201"/>
      <c r="DR194" s="201"/>
      <c r="DS194" s="201"/>
      <c r="DT194" s="201"/>
      <c r="DU194" s="201"/>
      <c r="DV194" s="201"/>
      <c r="DW194" s="201"/>
      <c r="DX194" s="201"/>
      <c r="DY194" s="201"/>
      <c r="DZ194" s="201"/>
      <c r="EA194" s="201"/>
      <c r="EB194" s="201"/>
      <c r="EC194" s="201"/>
      <c r="ED194" s="201"/>
      <c r="EE194" s="201"/>
      <c r="EF194" s="201"/>
      <c r="EG194" s="201"/>
      <c r="EH194" s="201"/>
      <c r="EI194" s="201"/>
      <c r="EJ194" s="201"/>
      <c r="EK194" s="201"/>
      <c r="EL194" s="201"/>
      <c r="EM194" s="201"/>
      <c r="EN194" s="201"/>
      <c r="EO194" s="201"/>
      <c r="EP194" s="201"/>
      <c r="EQ194" s="201"/>
      <c r="ER194" s="201"/>
      <c r="ES194" s="201"/>
    </row>
    <row r="195" spans="17:149" s="146" customFormat="1">
      <c r="Q195" s="145"/>
      <c r="R195" s="145"/>
      <c r="AR195" s="201"/>
      <c r="AS195" s="201"/>
      <c r="AT195" s="201"/>
      <c r="AU195" s="201"/>
      <c r="AV195" s="201"/>
      <c r="AW195" s="201"/>
      <c r="AX195" s="201"/>
      <c r="AY195" s="201"/>
      <c r="AZ195" s="201"/>
      <c r="BA195" s="201"/>
      <c r="BB195" s="201"/>
      <c r="BC195" s="201"/>
      <c r="BD195" s="201"/>
      <c r="BE195" s="201"/>
      <c r="BF195" s="201"/>
      <c r="BG195" s="201"/>
      <c r="BH195" s="201"/>
      <c r="BI195" s="201"/>
      <c r="BJ195" s="201"/>
      <c r="BK195" s="201"/>
      <c r="BL195" s="201"/>
      <c r="BM195" s="201"/>
      <c r="BN195" s="201"/>
      <c r="BO195" s="201"/>
      <c r="BP195" s="201"/>
      <c r="BQ195" s="201"/>
      <c r="BR195" s="201"/>
      <c r="BS195" s="201"/>
      <c r="BT195" s="201"/>
      <c r="BU195" s="201"/>
      <c r="BV195" s="201"/>
      <c r="BW195" s="201"/>
      <c r="BX195" s="201"/>
      <c r="BY195" s="201"/>
      <c r="BZ195" s="201"/>
      <c r="CA195" s="201"/>
      <c r="CB195" s="201"/>
      <c r="CC195" s="201"/>
      <c r="CD195" s="201"/>
      <c r="CE195" s="201"/>
      <c r="CF195" s="201"/>
      <c r="CG195" s="201"/>
      <c r="CH195" s="201"/>
      <c r="CI195" s="201"/>
      <c r="CJ195" s="201"/>
      <c r="CK195" s="201"/>
      <c r="CL195" s="201"/>
      <c r="CM195" s="201"/>
      <c r="CN195" s="201"/>
      <c r="CO195" s="201"/>
      <c r="CP195" s="201"/>
      <c r="CQ195" s="201"/>
      <c r="CR195" s="201"/>
      <c r="CS195" s="201"/>
      <c r="CT195" s="201"/>
      <c r="CU195" s="201"/>
      <c r="CV195" s="201"/>
      <c r="CW195" s="201"/>
      <c r="CX195" s="201"/>
      <c r="CY195" s="201"/>
      <c r="CZ195" s="201"/>
      <c r="DA195" s="201"/>
      <c r="DB195" s="201"/>
      <c r="DC195" s="201"/>
      <c r="DD195" s="201"/>
      <c r="DE195" s="201"/>
      <c r="DF195" s="201"/>
      <c r="DG195" s="201"/>
      <c r="DH195" s="201"/>
      <c r="DI195" s="201"/>
      <c r="DJ195" s="201"/>
      <c r="DK195" s="201"/>
      <c r="DL195" s="201"/>
      <c r="DM195" s="201"/>
      <c r="DN195" s="201"/>
      <c r="DO195" s="201"/>
      <c r="DP195" s="201"/>
      <c r="DQ195" s="201"/>
      <c r="DR195" s="201"/>
      <c r="DS195" s="201"/>
      <c r="DT195" s="201"/>
      <c r="DU195" s="201"/>
      <c r="DV195" s="201"/>
      <c r="DW195" s="201"/>
      <c r="DX195" s="201"/>
      <c r="DY195" s="201"/>
      <c r="DZ195" s="201"/>
      <c r="EA195" s="201"/>
      <c r="EB195" s="201"/>
      <c r="EC195" s="201"/>
      <c r="ED195" s="201"/>
      <c r="EE195" s="201"/>
      <c r="EF195" s="201"/>
      <c r="EG195" s="201"/>
      <c r="EH195" s="201"/>
      <c r="EI195" s="201"/>
      <c r="EJ195" s="201"/>
      <c r="EK195" s="201"/>
      <c r="EL195" s="201"/>
      <c r="EM195" s="201"/>
      <c r="EN195" s="201"/>
      <c r="EO195" s="201"/>
      <c r="EP195" s="201"/>
      <c r="EQ195" s="201"/>
      <c r="ER195" s="201"/>
      <c r="ES195" s="201"/>
    </row>
    <row r="196" spans="17:149" s="146" customFormat="1">
      <c r="Q196" s="145"/>
      <c r="R196" s="145"/>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c r="BP196" s="201"/>
      <c r="BQ196" s="201"/>
      <c r="BR196" s="201"/>
      <c r="BS196" s="201"/>
      <c r="BT196" s="201"/>
      <c r="BU196" s="201"/>
      <c r="BV196" s="201"/>
      <c r="BW196" s="201"/>
      <c r="BX196" s="201"/>
      <c r="BY196" s="201"/>
      <c r="BZ196" s="201"/>
      <c r="CA196" s="201"/>
      <c r="CB196" s="201"/>
      <c r="CC196" s="201"/>
      <c r="CD196" s="201"/>
      <c r="CE196" s="201"/>
      <c r="CF196" s="201"/>
      <c r="CG196" s="201"/>
      <c r="CH196" s="201"/>
      <c r="CI196" s="201"/>
      <c r="CJ196" s="201"/>
      <c r="CK196" s="201"/>
      <c r="CL196" s="201"/>
      <c r="CM196" s="201"/>
      <c r="CN196" s="201"/>
      <c r="CO196" s="201"/>
      <c r="CP196" s="201"/>
      <c r="CQ196" s="201"/>
      <c r="CR196" s="201"/>
      <c r="CS196" s="201"/>
      <c r="CT196" s="201"/>
      <c r="CU196" s="201"/>
      <c r="CV196" s="201"/>
      <c r="CW196" s="201"/>
      <c r="CX196" s="201"/>
      <c r="CY196" s="201"/>
      <c r="CZ196" s="201"/>
      <c r="DA196" s="201"/>
      <c r="DB196" s="201"/>
      <c r="DC196" s="201"/>
      <c r="DD196" s="201"/>
      <c r="DE196" s="201"/>
      <c r="DF196" s="201"/>
      <c r="DG196" s="201"/>
      <c r="DH196" s="201"/>
      <c r="DI196" s="201"/>
      <c r="DJ196" s="201"/>
      <c r="DK196" s="201"/>
      <c r="DL196" s="201"/>
      <c r="DM196" s="201"/>
      <c r="DN196" s="201"/>
      <c r="DO196" s="201"/>
      <c r="DP196" s="201"/>
      <c r="DQ196" s="201"/>
      <c r="DR196" s="201"/>
      <c r="DS196" s="201"/>
      <c r="DT196" s="201"/>
      <c r="DU196" s="201"/>
      <c r="DV196" s="201"/>
      <c r="DW196" s="201"/>
      <c r="DX196" s="201"/>
      <c r="DY196" s="201"/>
      <c r="DZ196" s="201"/>
      <c r="EA196" s="201"/>
      <c r="EB196" s="201"/>
      <c r="EC196" s="201"/>
      <c r="ED196" s="201"/>
      <c r="EE196" s="201"/>
      <c r="EF196" s="201"/>
      <c r="EG196" s="201"/>
      <c r="EH196" s="201"/>
      <c r="EI196" s="201"/>
      <c r="EJ196" s="201"/>
      <c r="EK196" s="201"/>
      <c r="EL196" s="201"/>
      <c r="EM196" s="201"/>
      <c r="EN196" s="201"/>
      <c r="EO196" s="201"/>
      <c r="EP196" s="201"/>
      <c r="EQ196" s="201"/>
      <c r="ER196" s="201"/>
      <c r="ES196" s="201"/>
    </row>
    <row r="197" spans="17:149" s="146" customFormat="1">
      <c r="Q197" s="145"/>
      <c r="R197" s="145"/>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c r="BP197" s="201"/>
      <c r="BQ197" s="201"/>
      <c r="BR197" s="201"/>
      <c r="BS197" s="201"/>
      <c r="BT197" s="201"/>
      <c r="BU197" s="201"/>
      <c r="BV197" s="201"/>
      <c r="BW197" s="201"/>
      <c r="BX197" s="201"/>
      <c r="BY197" s="201"/>
      <c r="BZ197" s="201"/>
      <c r="CA197" s="201"/>
      <c r="CB197" s="201"/>
      <c r="CC197" s="201"/>
      <c r="CD197" s="201"/>
      <c r="CE197" s="201"/>
      <c r="CF197" s="201"/>
      <c r="CG197" s="201"/>
      <c r="CH197" s="201"/>
      <c r="CI197" s="201"/>
      <c r="CJ197" s="201"/>
      <c r="CK197" s="201"/>
      <c r="CL197" s="201"/>
      <c r="CM197" s="201"/>
      <c r="CN197" s="201"/>
      <c r="CO197" s="201"/>
      <c r="CP197" s="201"/>
      <c r="CQ197" s="201"/>
      <c r="CR197" s="201"/>
      <c r="CS197" s="201"/>
      <c r="CT197" s="201"/>
      <c r="CU197" s="201"/>
      <c r="CV197" s="201"/>
      <c r="CW197" s="201"/>
      <c r="CX197" s="201"/>
      <c r="CY197" s="201"/>
      <c r="CZ197" s="201"/>
      <c r="DA197" s="201"/>
      <c r="DB197" s="201"/>
      <c r="DC197" s="201"/>
      <c r="DD197" s="201"/>
      <c r="DE197" s="201"/>
      <c r="DF197" s="201"/>
      <c r="DG197" s="201"/>
      <c r="DH197" s="201"/>
      <c r="DI197" s="201"/>
      <c r="DJ197" s="201"/>
      <c r="DK197" s="201"/>
      <c r="DL197" s="201"/>
      <c r="DM197" s="201"/>
      <c r="DN197" s="201"/>
      <c r="DO197" s="201"/>
      <c r="DP197" s="201"/>
      <c r="DQ197" s="201"/>
      <c r="DR197" s="201"/>
      <c r="DS197" s="201"/>
      <c r="DT197" s="201"/>
      <c r="DU197" s="201"/>
      <c r="DV197" s="201"/>
      <c r="DW197" s="201"/>
      <c r="DX197" s="201"/>
      <c r="DY197" s="201"/>
      <c r="DZ197" s="201"/>
      <c r="EA197" s="201"/>
      <c r="EB197" s="201"/>
      <c r="EC197" s="201"/>
      <c r="ED197" s="201"/>
      <c r="EE197" s="201"/>
      <c r="EF197" s="201"/>
      <c r="EG197" s="201"/>
      <c r="EH197" s="201"/>
      <c r="EI197" s="201"/>
      <c r="EJ197" s="201"/>
      <c r="EK197" s="201"/>
      <c r="EL197" s="201"/>
      <c r="EM197" s="201"/>
      <c r="EN197" s="201"/>
      <c r="EO197" s="201"/>
      <c r="EP197" s="201"/>
      <c r="EQ197" s="201"/>
      <c r="ER197" s="201"/>
      <c r="ES197" s="201"/>
    </row>
    <row r="198" spans="17:149" s="146" customFormat="1">
      <c r="Q198" s="145"/>
      <c r="R198" s="145"/>
      <c r="AR198" s="201"/>
      <c r="AS198" s="201"/>
      <c r="AT198" s="201"/>
      <c r="AU198" s="201"/>
      <c r="AV198" s="201"/>
      <c r="AW198" s="201"/>
      <c r="AX198" s="201"/>
      <c r="AY198" s="201"/>
      <c r="AZ198" s="201"/>
      <c r="BA198" s="201"/>
      <c r="BB198" s="201"/>
      <c r="BC198" s="201"/>
      <c r="BD198" s="201"/>
      <c r="BE198" s="201"/>
      <c r="BF198" s="201"/>
      <c r="BG198" s="201"/>
      <c r="BH198" s="201"/>
      <c r="BI198" s="201"/>
      <c r="BJ198" s="201"/>
      <c r="BK198" s="201"/>
      <c r="BL198" s="201"/>
      <c r="BM198" s="201"/>
      <c r="BN198" s="201"/>
      <c r="BO198" s="201"/>
      <c r="BP198" s="201"/>
      <c r="BQ198" s="201"/>
      <c r="BR198" s="201"/>
      <c r="BS198" s="201"/>
      <c r="BT198" s="201"/>
      <c r="BU198" s="201"/>
      <c r="BV198" s="201"/>
      <c r="BW198" s="201"/>
      <c r="BX198" s="201"/>
      <c r="BY198" s="201"/>
      <c r="BZ198" s="201"/>
      <c r="CA198" s="201"/>
      <c r="CB198" s="201"/>
      <c r="CC198" s="201"/>
      <c r="CD198" s="201"/>
      <c r="CE198" s="201"/>
      <c r="CF198" s="201"/>
      <c r="CG198" s="201"/>
      <c r="CH198" s="201"/>
      <c r="CI198" s="201"/>
      <c r="CJ198" s="201"/>
      <c r="CK198" s="201"/>
      <c r="CL198" s="201"/>
      <c r="CM198" s="201"/>
      <c r="CN198" s="201"/>
      <c r="CO198" s="201"/>
      <c r="CP198" s="201"/>
      <c r="CQ198" s="201"/>
      <c r="CR198" s="201"/>
      <c r="CS198" s="201"/>
      <c r="CT198" s="201"/>
      <c r="CU198" s="201"/>
      <c r="CV198" s="201"/>
      <c r="CW198" s="201"/>
      <c r="CX198" s="201"/>
      <c r="CY198" s="201"/>
      <c r="CZ198" s="201"/>
      <c r="DA198" s="201"/>
      <c r="DB198" s="201"/>
      <c r="DC198" s="201"/>
      <c r="DD198" s="201"/>
      <c r="DE198" s="201"/>
      <c r="DF198" s="201"/>
      <c r="DG198" s="201"/>
      <c r="DH198" s="201"/>
      <c r="DI198" s="201"/>
      <c r="DJ198" s="201"/>
      <c r="DK198" s="201"/>
      <c r="DL198" s="201"/>
      <c r="DM198" s="201"/>
      <c r="DN198" s="201"/>
      <c r="DO198" s="201"/>
      <c r="DP198" s="201"/>
      <c r="DQ198" s="201"/>
      <c r="DR198" s="201"/>
      <c r="DS198" s="201"/>
      <c r="DT198" s="201"/>
      <c r="DU198" s="201"/>
      <c r="DV198" s="201"/>
      <c r="DW198" s="201"/>
      <c r="DX198" s="201"/>
      <c r="DY198" s="201"/>
      <c r="DZ198" s="201"/>
      <c r="EA198" s="201"/>
      <c r="EB198" s="201"/>
      <c r="EC198" s="201"/>
      <c r="ED198" s="201"/>
      <c r="EE198" s="201"/>
      <c r="EF198" s="201"/>
      <c r="EG198" s="201"/>
      <c r="EH198" s="201"/>
      <c r="EI198" s="201"/>
      <c r="EJ198" s="201"/>
      <c r="EK198" s="201"/>
      <c r="EL198" s="201"/>
      <c r="EM198" s="201"/>
      <c r="EN198" s="201"/>
      <c r="EO198" s="201"/>
      <c r="EP198" s="201"/>
      <c r="EQ198" s="201"/>
      <c r="ER198" s="201"/>
      <c r="ES198" s="201"/>
    </row>
    <row r="199" spans="17:149" s="146" customFormat="1">
      <c r="Q199" s="145"/>
      <c r="R199" s="145"/>
      <c r="AR199" s="201"/>
      <c r="AS199" s="201"/>
      <c r="AT199" s="201"/>
      <c r="AU199" s="201"/>
      <c r="AV199" s="201"/>
      <c r="AW199" s="201"/>
      <c r="AX199" s="201"/>
      <c r="AY199" s="201"/>
      <c r="AZ199" s="201"/>
      <c r="BA199" s="201"/>
      <c r="BB199" s="201"/>
      <c r="BC199" s="201"/>
      <c r="BD199" s="201"/>
      <c r="BE199" s="201"/>
      <c r="BF199" s="201"/>
      <c r="BG199" s="201"/>
      <c r="BH199" s="201"/>
      <c r="BI199" s="201"/>
      <c r="BJ199" s="201"/>
      <c r="BK199" s="201"/>
      <c r="BL199" s="201"/>
      <c r="BM199" s="201"/>
      <c r="BN199" s="201"/>
      <c r="BO199" s="201"/>
      <c r="BP199" s="201"/>
      <c r="BQ199" s="201"/>
      <c r="BR199" s="201"/>
      <c r="BS199" s="201"/>
      <c r="BT199" s="201"/>
      <c r="BU199" s="201"/>
      <c r="BV199" s="201"/>
      <c r="BW199" s="201"/>
      <c r="BX199" s="201"/>
      <c r="BY199" s="201"/>
      <c r="BZ199" s="201"/>
      <c r="CA199" s="201"/>
      <c r="CB199" s="201"/>
      <c r="CC199" s="201"/>
      <c r="CD199" s="201"/>
      <c r="CE199" s="201"/>
      <c r="CF199" s="201"/>
      <c r="CG199" s="201"/>
      <c r="CH199" s="201"/>
      <c r="CI199" s="201"/>
      <c r="CJ199" s="201"/>
      <c r="CK199" s="201"/>
      <c r="CL199" s="201"/>
      <c r="CM199" s="201"/>
      <c r="CN199" s="201"/>
      <c r="CO199" s="201"/>
      <c r="CP199" s="201"/>
      <c r="CQ199" s="201"/>
      <c r="CR199" s="201"/>
      <c r="CS199" s="201"/>
      <c r="CT199" s="201"/>
      <c r="CU199" s="201"/>
      <c r="CV199" s="201"/>
      <c r="CW199" s="201"/>
      <c r="CX199" s="201"/>
      <c r="CY199" s="201"/>
      <c r="CZ199" s="201"/>
      <c r="DA199" s="201"/>
      <c r="DB199" s="201"/>
      <c r="DC199" s="201"/>
      <c r="DD199" s="201"/>
      <c r="DE199" s="201"/>
      <c r="DF199" s="201"/>
      <c r="DG199" s="201"/>
      <c r="DH199" s="201"/>
      <c r="DI199" s="201"/>
      <c r="DJ199" s="201"/>
      <c r="DK199" s="201"/>
      <c r="DL199" s="201"/>
      <c r="DM199" s="201"/>
      <c r="DN199" s="201"/>
      <c r="DO199" s="201"/>
      <c r="DP199" s="201"/>
      <c r="DQ199" s="201"/>
      <c r="DR199" s="201"/>
      <c r="DS199" s="201"/>
      <c r="DT199" s="201"/>
      <c r="DU199" s="201"/>
      <c r="DV199" s="201"/>
      <c r="DW199" s="201"/>
      <c r="DX199" s="201"/>
      <c r="DY199" s="201"/>
      <c r="DZ199" s="201"/>
      <c r="EA199" s="201"/>
      <c r="EB199" s="201"/>
      <c r="EC199" s="201"/>
      <c r="ED199" s="201"/>
      <c r="EE199" s="201"/>
      <c r="EF199" s="201"/>
      <c r="EG199" s="201"/>
      <c r="EH199" s="201"/>
      <c r="EI199" s="201"/>
      <c r="EJ199" s="201"/>
      <c r="EK199" s="201"/>
      <c r="EL199" s="201"/>
      <c r="EM199" s="201"/>
      <c r="EN199" s="201"/>
      <c r="EO199" s="201"/>
      <c r="EP199" s="201"/>
      <c r="EQ199" s="201"/>
      <c r="ER199" s="201"/>
      <c r="ES199" s="201"/>
    </row>
    <row r="200" spans="17:149" s="146" customFormat="1">
      <c r="Q200" s="145"/>
      <c r="R200" s="145"/>
      <c r="AR200" s="201"/>
      <c r="AS200" s="201"/>
      <c r="AT200" s="201"/>
      <c r="AU200" s="201"/>
      <c r="AV200" s="201"/>
      <c r="AW200" s="201"/>
      <c r="AX200" s="201"/>
      <c r="AY200" s="201"/>
      <c r="AZ200" s="201"/>
      <c r="BA200" s="201"/>
      <c r="BB200" s="201"/>
      <c r="BC200" s="201"/>
      <c r="BD200" s="201"/>
      <c r="BE200" s="201"/>
      <c r="BF200" s="201"/>
      <c r="BG200" s="201"/>
      <c r="BH200" s="201"/>
      <c r="BI200" s="201"/>
      <c r="BJ200" s="201"/>
      <c r="BK200" s="201"/>
      <c r="BL200" s="201"/>
      <c r="BM200" s="201"/>
      <c r="BN200" s="201"/>
      <c r="BO200" s="201"/>
      <c r="BP200" s="201"/>
      <c r="BQ200" s="201"/>
      <c r="BR200" s="201"/>
      <c r="BS200" s="201"/>
      <c r="BT200" s="201"/>
      <c r="BU200" s="201"/>
      <c r="BV200" s="201"/>
      <c r="BW200" s="201"/>
      <c r="BX200" s="201"/>
      <c r="BY200" s="201"/>
      <c r="BZ200" s="201"/>
      <c r="CA200" s="201"/>
      <c r="CB200" s="201"/>
      <c r="CC200" s="201"/>
      <c r="CD200" s="201"/>
      <c r="CE200" s="201"/>
      <c r="CF200" s="201"/>
      <c r="CG200" s="201"/>
      <c r="CH200" s="201"/>
      <c r="CI200" s="201"/>
      <c r="CJ200" s="201"/>
      <c r="CK200" s="201"/>
      <c r="CL200" s="201"/>
      <c r="CM200" s="201"/>
      <c r="CN200" s="201"/>
      <c r="CO200" s="201"/>
      <c r="CP200" s="201"/>
      <c r="CQ200" s="201"/>
      <c r="CR200" s="201"/>
      <c r="CS200" s="201"/>
      <c r="CT200" s="201"/>
      <c r="CU200" s="201"/>
      <c r="CV200" s="201"/>
      <c r="CW200" s="201"/>
      <c r="CX200" s="201"/>
      <c r="CY200" s="201"/>
      <c r="CZ200" s="201"/>
      <c r="DA200" s="201"/>
      <c r="DB200" s="201"/>
      <c r="DC200" s="201"/>
      <c r="DD200" s="201"/>
      <c r="DE200" s="201"/>
      <c r="DF200" s="201"/>
      <c r="DG200" s="201"/>
      <c r="DH200" s="201"/>
      <c r="DI200" s="201"/>
      <c r="DJ200" s="201"/>
      <c r="DK200" s="201"/>
      <c r="DL200" s="201"/>
      <c r="DM200" s="201"/>
      <c r="DN200" s="201"/>
      <c r="DO200" s="201"/>
      <c r="DP200" s="201"/>
      <c r="DQ200" s="201"/>
      <c r="DR200" s="201"/>
      <c r="DS200" s="201"/>
      <c r="DT200" s="201"/>
      <c r="DU200" s="201"/>
      <c r="DV200" s="201"/>
      <c r="DW200" s="201"/>
      <c r="DX200" s="201"/>
      <c r="DY200" s="201"/>
      <c r="DZ200" s="201"/>
      <c r="EA200" s="201"/>
      <c r="EB200" s="201"/>
      <c r="EC200" s="201"/>
      <c r="ED200" s="201"/>
      <c r="EE200" s="201"/>
      <c r="EF200" s="201"/>
      <c r="EG200" s="201"/>
      <c r="EH200" s="201"/>
      <c r="EI200" s="201"/>
      <c r="EJ200" s="201"/>
      <c r="EK200" s="201"/>
      <c r="EL200" s="201"/>
      <c r="EM200" s="201"/>
      <c r="EN200" s="201"/>
      <c r="EO200" s="201"/>
      <c r="EP200" s="201"/>
      <c r="EQ200" s="201"/>
      <c r="ER200" s="201"/>
      <c r="ES200" s="201"/>
    </row>
    <row r="201" spans="17:149" s="146" customFormat="1">
      <c r="Q201" s="145"/>
      <c r="R201" s="145"/>
      <c r="AR201" s="201"/>
      <c r="AS201" s="201"/>
      <c r="AT201" s="201"/>
      <c r="AU201" s="201"/>
      <c r="AV201" s="201"/>
      <c r="AW201" s="201"/>
      <c r="AX201" s="201"/>
      <c r="AY201" s="201"/>
      <c r="AZ201" s="201"/>
      <c r="BA201" s="201"/>
      <c r="BB201" s="201"/>
      <c r="BC201" s="201"/>
      <c r="BD201" s="201"/>
      <c r="BE201" s="201"/>
      <c r="BF201" s="201"/>
      <c r="BG201" s="201"/>
      <c r="BH201" s="201"/>
      <c r="BI201" s="201"/>
      <c r="BJ201" s="201"/>
      <c r="BK201" s="201"/>
      <c r="BL201" s="201"/>
      <c r="BM201" s="201"/>
      <c r="BN201" s="201"/>
      <c r="BO201" s="201"/>
      <c r="BP201" s="201"/>
      <c r="BQ201" s="201"/>
      <c r="BR201" s="201"/>
      <c r="BS201" s="201"/>
      <c r="BT201" s="201"/>
      <c r="BU201" s="201"/>
      <c r="BV201" s="201"/>
      <c r="BW201" s="201"/>
      <c r="BX201" s="201"/>
      <c r="BY201" s="201"/>
      <c r="BZ201" s="201"/>
      <c r="CA201" s="201"/>
      <c r="CB201" s="201"/>
      <c r="CC201" s="201"/>
      <c r="CD201" s="201"/>
      <c r="CE201" s="201"/>
      <c r="CF201" s="201"/>
      <c r="CG201" s="201"/>
      <c r="CH201" s="201"/>
      <c r="CI201" s="201"/>
      <c r="CJ201" s="201"/>
      <c r="CK201" s="201"/>
      <c r="CL201" s="201"/>
      <c r="CM201" s="201"/>
      <c r="CN201" s="201"/>
      <c r="CO201" s="201"/>
      <c r="CP201" s="201"/>
      <c r="CQ201" s="201"/>
      <c r="CR201" s="201"/>
      <c r="CS201" s="201"/>
      <c r="CT201" s="201"/>
      <c r="CU201" s="201"/>
      <c r="CV201" s="201"/>
      <c r="CW201" s="201"/>
      <c r="CX201" s="201"/>
      <c r="CY201" s="201"/>
      <c r="CZ201" s="201"/>
      <c r="DA201" s="201"/>
      <c r="DB201" s="201"/>
      <c r="DC201" s="201"/>
      <c r="DD201" s="201"/>
      <c r="DE201" s="201"/>
      <c r="DF201" s="201"/>
      <c r="DG201" s="201"/>
      <c r="DH201" s="201"/>
      <c r="DI201" s="201"/>
      <c r="DJ201" s="201"/>
      <c r="DK201" s="201"/>
      <c r="DL201" s="201"/>
      <c r="DM201" s="201"/>
      <c r="DN201" s="201"/>
      <c r="DO201" s="201"/>
      <c r="DP201" s="201"/>
      <c r="DQ201" s="201"/>
      <c r="DR201" s="201"/>
      <c r="DS201" s="201"/>
      <c r="DT201" s="201"/>
      <c r="DU201" s="201"/>
      <c r="DV201" s="201"/>
      <c r="DW201" s="201"/>
      <c r="DX201" s="201"/>
      <c r="DY201" s="201"/>
      <c r="DZ201" s="201"/>
      <c r="EA201" s="201"/>
      <c r="EB201" s="201"/>
      <c r="EC201" s="201"/>
      <c r="ED201" s="201"/>
      <c r="EE201" s="201"/>
      <c r="EF201" s="201"/>
      <c r="EG201" s="201"/>
      <c r="EH201" s="201"/>
      <c r="EI201" s="201"/>
      <c r="EJ201" s="201"/>
      <c r="EK201" s="201"/>
      <c r="EL201" s="201"/>
      <c r="EM201" s="201"/>
      <c r="EN201" s="201"/>
      <c r="EO201" s="201"/>
      <c r="EP201" s="201"/>
      <c r="EQ201" s="201"/>
      <c r="ER201" s="201"/>
      <c r="ES201" s="201"/>
    </row>
    <row r="202" spans="17:149" s="146" customFormat="1">
      <c r="Q202" s="145"/>
      <c r="R202" s="145"/>
      <c r="AR202" s="201"/>
      <c r="AS202" s="201"/>
      <c r="AT202" s="201"/>
      <c r="AU202" s="201"/>
      <c r="AV202" s="201"/>
      <c r="AW202" s="201"/>
      <c r="AX202" s="201"/>
      <c r="AY202" s="201"/>
      <c r="AZ202" s="201"/>
      <c r="BA202" s="201"/>
      <c r="BB202" s="201"/>
      <c r="BC202" s="201"/>
      <c r="BD202" s="201"/>
      <c r="BE202" s="201"/>
      <c r="BF202" s="201"/>
      <c r="BG202" s="201"/>
      <c r="BH202" s="201"/>
      <c r="BI202" s="201"/>
      <c r="BJ202" s="201"/>
      <c r="BK202" s="201"/>
      <c r="BL202" s="201"/>
      <c r="BM202" s="201"/>
      <c r="BN202" s="201"/>
      <c r="BO202" s="201"/>
      <c r="BP202" s="201"/>
      <c r="BQ202" s="201"/>
      <c r="BR202" s="201"/>
      <c r="BS202" s="201"/>
      <c r="BT202" s="201"/>
      <c r="BU202" s="201"/>
      <c r="BV202" s="201"/>
      <c r="BW202" s="201"/>
      <c r="BX202" s="201"/>
      <c r="BY202" s="201"/>
      <c r="BZ202" s="201"/>
      <c r="CA202" s="201"/>
      <c r="CB202" s="201"/>
      <c r="CC202" s="201"/>
      <c r="CD202" s="201"/>
      <c r="CE202" s="201"/>
      <c r="CF202" s="201"/>
      <c r="CG202" s="201"/>
      <c r="CH202" s="201"/>
      <c r="CI202" s="201"/>
      <c r="CJ202" s="201"/>
      <c r="CK202" s="201"/>
      <c r="CL202" s="201"/>
      <c r="CM202" s="201"/>
      <c r="CN202" s="201"/>
      <c r="CO202" s="201"/>
      <c r="CP202" s="201"/>
      <c r="CQ202" s="201"/>
      <c r="CR202" s="201"/>
      <c r="CS202" s="201"/>
      <c r="CT202" s="201"/>
      <c r="CU202" s="201"/>
      <c r="CV202" s="201"/>
      <c r="CW202" s="201"/>
      <c r="CX202" s="201"/>
      <c r="CY202" s="201"/>
      <c r="CZ202" s="201"/>
      <c r="DA202" s="201"/>
      <c r="DB202" s="201"/>
      <c r="DC202" s="201"/>
      <c r="DD202" s="201"/>
      <c r="DE202" s="201"/>
      <c r="DF202" s="201"/>
      <c r="DG202" s="201"/>
      <c r="DH202" s="201"/>
      <c r="DI202" s="201"/>
      <c r="DJ202" s="201"/>
      <c r="DK202" s="201"/>
      <c r="DL202" s="201"/>
      <c r="DM202" s="201"/>
      <c r="DN202" s="201"/>
      <c r="DO202" s="201"/>
      <c r="DP202" s="201"/>
      <c r="DQ202" s="201"/>
      <c r="DR202" s="201"/>
      <c r="DS202" s="201"/>
      <c r="DT202" s="201"/>
      <c r="DU202" s="201"/>
      <c r="DV202" s="201"/>
      <c r="DW202" s="201"/>
      <c r="DX202" s="201"/>
      <c r="DY202" s="201"/>
      <c r="DZ202" s="201"/>
      <c r="EA202" s="201"/>
      <c r="EB202" s="201"/>
      <c r="EC202" s="201"/>
      <c r="ED202" s="201"/>
      <c r="EE202" s="201"/>
      <c r="EF202" s="201"/>
      <c r="EG202" s="201"/>
      <c r="EH202" s="201"/>
      <c r="EI202" s="201"/>
      <c r="EJ202" s="201"/>
      <c r="EK202" s="201"/>
      <c r="EL202" s="201"/>
      <c r="EM202" s="201"/>
      <c r="EN202" s="201"/>
      <c r="EO202" s="201"/>
      <c r="EP202" s="201"/>
      <c r="EQ202" s="201"/>
      <c r="ER202" s="201"/>
      <c r="ES202" s="201"/>
    </row>
    <row r="203" spans="17:149" s="146" customFormat="1">
      <c r="Q203" s="145"/>
      <c r="R203" s="145"/>
      <c r="AR203" s="201"/>
      <c r="AS203" s="201"/>
      <c r="AT203" s="201"/>
      <c r="AU203" s="201"/>
      <c r="AV203" s="201"/>
      <c r="AW203" s="201"/>
      <c r="AX203" s="201"/>
      <c r="AY203" s="201"/>
      <c r="AZ203" s="201"/>
      <c r="BA203" s="201"/>
      <c r="BB203" s="201"/>
      <c r="BC203" s="201"/>
      <c r="BD203" s="201"/>
      <c r="BE203" s="201"/>
      <c r="BF203" s="201"/>
      <c r="BG203" s="201"/>
      <c r="BH203" s="201"/>
      <c r="BI203" s="201"/>
      <c r="BJ203" s="201"/>
      <c r="BK203" s="201"/>
      <c r="BL203" s="201"/>
      <c r="BM203" s="201"/>
      <c r="BN203" s="201"/>
      <c r="BO203" s="201"/>
      <c r="BP203" s="201"/>
      <c r="BQ203" s="201"/>
      <c r="BR203" s="201"/>
      <c r="BS203" s="201"/>
      <c r="BT203" s="201"/>
      <c r="BU203" s="201"/>
      <c r="BV203" s="201"/>
      <c r="BW203" s="201"/>
      <c r="BX203" s="201"/>
      <c r="BY203" s="201"/>
      <c r="BZ203" s="201"/>
      <c r="CA203" s="201"/>
      <c r="CB203" s="201"/>
      <c r="CC203" s="201"/>
      <c r="CD203" s="201"/>
      <c r="CE203" s="201"/>
      <c r="CF203" s="201"/>
      <c r="CG203" s="201"/>
      <c r="CH203" s="201"/>
      <c r="CI203" s="201"/>
      <c r="CJ203" s="201"/>
      <c r="CK203" s="201"/>
      <c r="CL203" s="201"/>
      <c r="CM203" s="201"/>
      <c r="CN203" s="201"/>
      <c r="CO203" s="201"/>
      <c r="CP203" s="201"/>
      <c r="CQ203" s="201"/>
      <c r="CR203" s="201"/>
      <c r="CS203" s="201"/>
      <c r="CT203" s="201"/>
      <c r="CU203" s="201"/>
      <c r="CV203" s="201"/>
      <c r="CW203" s="201"/>
      <c r="CX203" s="201"/>
      <c r="CY203" s="201"/>
      <c r="CZ203" s="201"/>
      <c r="DA203" s="201"/>
      <c r="DB203" s="201"/>
      <c r="DC203" s="201"/>
      <c r="DD203" s="201"/>
      <c r="DE203" s="201"/>
      <c r="DF203" s="201"/>
      <c r="DG203" s="201"/>
      <c r="DH203" s="201"/>
      <c r="DI203" s="201"/>
      <c r="DJ203" s="201"/>
      <c r="DK203" s="201"/>
      <c r="DL203" s="201"/>
      <c r="DM203" s="201"/>
      <c r="DN203" s="201"/>
      <c r="DO203" s="201"/>
      <c r="DP203" s="201"/>
      <c r="DQ203" s="201"/>
      <c r="DR203" s="201"/>
      <c r="DS203" s="201"/>
      <c r="DT203" s="201"/>
      <c r="DU203" s="201"/>
      <c r="DV203" s="201"/>
      <c r="DW203" s="201"/>
      <c r="DX203" s="201"/>
      <c r="DY203" s="201"/>
      <c r="DZ203" s="201"/>
      <c r="EA203" s="201"/>
      <c r="EB203" s="201"/>
      <c r="EC203" s="201"/>
      <c r="ED203" s="201"/>
      <c r="EE203" s="201"/>
      <c r="EF203" s="201"/>
      <c r="EG203" s="201"/>
      <c r="EH203" s="201"/>
      <c r="EI203" s="201"/>
      <c r="EJ203" s="201"/>
      <c r="EK203" s="201"/>
      <c r="EL203" s="201"/>
      <c r="EM203" s="201"/>
      <c r="EN203" s="201"/>
      <c r="EO203" s="201"/>
      <c r="EP203" s="201"/>
      <c r="EQ203" s="201"/>
      <c r="ER203" s="201"/>
      <c r="ES203" s="201"/>
    </row>
    <row r="204" spans="17:149" s="146" customFormat="1">
      <c r="Q204" s="145"/>
      <c r="R204" s="145"/>
      <c r="AR204" s="201"/>
      <c r="AS204" s="201"/>
      <c r="AT204" s="201"/>
      <c r="AU204" s="201"/>
      <c r="AV204" s="201"/>
      <c r="AW204" s="201"/>
      <c r="AX204" s="201"/>
      <c r="AY204" s="201"/>
      <c r="AZ204" s="201"/>
      <c r="BA204" s="201"/>
      <c r="BB204" s="201"/>
      <c r="BC204" s="201"/>
      <c r="BD204" s="201"/>
      <c r="BE204" s="201"/>
      <c r="BF204" s="201"/>
      <c r="BG204" s="201"/>
      <c r="BH204" s="201"/>
      <c r="BI204" s="201"/>
      <c r="BJ204" s="201"/>
      <c r="BK204" s="201"/>
      <c r="BL204" s="201"/>
      <c r="BM204" s="201"/>
      <c r="BN204" s="201"/>
      <c r="BO204" s="201"/>
      <c r="BP204" s="201"/>
      <c r="BQ204" s="201"/>
      <c r="BR204" s="201"/>
      <c r="BS204" s="201"/>
      <c r="BT204" s="201"/>
      <c r="BU204" s="201"/>
      <c r="BV204" s="201"/>
      <c r="BW204" s="201"/>
      <c r="BX204" s="201"/>
      <c r="BY204" s="201"/>
      <c r="BZ204" s="201"/>
      <c r="CA204" s="201"/>
      <c r="CB204" s="201"/>
      <c r="CC204" s="201"/>
      <c r="CD204" s="201"/>
      <c r="CE204" s="201"/>
      <c r="CF204" s="201"/>
      <c r="CG204" s="201"/>
      <c r="CH204" s="201"/>
      <c r="CI204" s="201"/>
      <c r="CJ204" s="201"/>
      <c r="CK204" s="201"/>
      <c r="CL204" s="201"/>
      <c r="CM204" s="201"/>
      <c r="CN204" s="201"/>
      <c r="CO204" s="201"/>
      <c r="CP204" s="201"/>
      <c r="CQ204" s="201"/>
      <c r="CR204" s="201"/>
      <c r="CS204" s="201"/>
      <c r="CT204" s="201"/>
      <c r="CU204" s="201"/>
      <c r="CV204" s="201"/>
      <c r="CW204" s="201"/>
      <c r="CX204" s="201"/>
      <c r="CY204" s="201"/>
      <c r="CZ204" s="201"/>
      <c r="DA204" s="201"/>
      <c r="DB204" s="201"/>
      <c r="DC204" s="201"/>
      <c r="DD204" s="201"/>
      <c r="DE204" s="201"/>
      <c r="DF204" s="201"/>
      <c r="DG204" s="201"/>
      <c r="DH204" s="201"/>
      <c r="DI204" s="201"/>
      <c r="DJ204" s="201"/>
      <c r="DK204" s="201"/>
      <c r="DL204" s="201"/>
      <c r="DM204" s="201"/>
      <c r="DN204" s="201"/>
      <c r="DO204" s="201"/>
      <c r="DP204" s="201"/>
      <c r="DQ204" s="201"/>
      <c r="DR204" s="201"/>
      <c r="DS204" s="201"/>
      <c r="DT204" s="201"/>
      <c r="DU204" s="201"/>
      <c r="DV204" s="201"/>
      <c r="DW204" s="201"/>
      <c r="DX204" s="201"/>
      <c r="DY204" s="201"/>
      <c r="DZ204" s="201"/>
      <c r="EA204" s="201"/>
      <c r="EB204" s="201"/>
      <c r="EC204" s="201"/>
      <c r="ED204" s="201"/>
      <c r="EE204" s="201"/>
      <c r="EF204" s="201"/>
      <c r="EG204" s="201"/>
      <c r="EH204" s="201"/>
      <c r="EI204" s="201"/>
      <c r="EJ204" s="201"/>
      <c r="EK204" s="201"/>
      <c r="EL204" s="201"/>
      <c r="EM204" s="201"/>
      <c r="EN204" s="201"/>
      <c r="EO204" s="201"/>
      <c r="EP204" s="201"/>
      <c r="EQ204" s="201"/>
      <c r="ER204" s="201"/>
      <c r="ES204" s="201"/>
    </row>
    <row r="205" spans="17:149" s="146" customFormat="1">
      <c r="Q205" s="145"/>
      <c r="R205" s="145"/>
      <c r="AR205" s="201"/>
      <c r="AS205" s="201"/>
      <c r="AT205" s="201"/>
      <c r="AU205" s="201"/>
      <c r="AV205" s="201"/>
      <c r="AW205" s="201"/>
      <c r="AX205" s="201"/>
      <c r="AY205" s="201"/>
      <c r="AZ205" s="201"/>
      <c r="BA205" s="201"/>
      <c r="BB205" s="201"/>
      <c r="BC205" s="201"/>
      <c r="BD205" s="201"/>
      <c r="BE205" s="201"/>
      <c r="BF205" s="201"/>
      <c r="BG205" s="201"/>
      <c r="BH205" s="201"/>
      <c r="BI205" s="201"/>
      <c r="BJ205" s="201"/>
      <c r="BK205" s="201"/>
      <c r="BL205" s="201"/>
      <c r="BM205" s="201"/>
      <c r="BN205" s="201"/>
      <c r="BO205" s="201"/>
      <c r="BP205" s="201"/>
      <c r="BQ205" s="201"/>
      <c r="BR205" s="201"/>
      <c r="BS205" s="201"/>
      <c r="BT205" s="201"/>
      <c r="BU205" s="201"/>
      <c r="BV205" s="201"/>
      <c r="BW205" s="201"/>
      <c r="BX205" s="201"/>
      <c r="BY205" s="201"/>
      <c r="BZ205" s="201"/>
      <c r="CA205" s="201"/>
      <c r="CB205" s="201"/>
      <c r="CC205" s="201"/>
      <c r="CD205" s="201"/>
      <c r="CE205" s="201"/>
      <c r="CF205" s="201"/>
      <c r="CG205" s="201"/>
      <c r="CH205" s="201"/>
      <c r="CI205" s="201"/>
      <c r="CJ205" s="201"/>
      <c r="CK205" s="201"/>
      <c r="CL205" s="201"/>
      <c r="CM205" s="201"/>
      <c r="CN205" s="201"/>
      <c r="CO205" s="201"/>
      <c r="CP205" s="201"/>
      <c r="CQ205" s="201"/>
      <c r="CR205" s="201"/>
      <c r="CS205" s="201"/>
      <c r="CT205" s="201"/>
      <c r="CU205" s="201"/>
      <c r="CV205" s="201"/>
      <c r="CW205" s="201"/>
      <c r="CX205" s="201"/>
      <c r="CY205" s="201"/>
      <c r="CZ205" s="201"/>
      <c r="DA205" s="201"/>
      <c r="DB205" s="201"/>
      <c r="DC205" s="201"/>
      <c r="DD205" s="201"/>
      <c r="DE205" s="201"/>
      <c r="DF205" s="201"/>
      <c r="DG205" s="201"/>
      <c r="DH205" s="201"/>
      <c r="DI205" s="201"/>
      <c r="DJ205" s="201"/>
      <c r="DK205" s="201"/>
      <c r="DL205" s="201"/>
      <c r="DM205" s="201"/>
      <c r="DN205" s="201"/>
      <c r="DO205" s="201"/>
      <c r="DP205" s="201"/>
      <c r="DQ205" s="201"/>
      <c r="DR205" s="201"/>
      <c r="DS205" s="201"/>
      <c r="DT205" s="201"/>
      <c r="DU205" s="201"/>
      <c r="DV205" s="201"/>
      <c r="DW205" s="201"/>
      <c r="DX205" s="201"/>
      <c r="DY205" s="201"/>
      <c r="DZ205" s="201"/>
      <c r="EA205" s="201"/>
      <c r="EB205" s="201"/>
      <c r="EC205" s="201"/>
      <c r="ED205" s="201"/>
      <c r="EE205" s="201"/>
      <c r="EF205" s="201"/>
      <c r="EG205" s="201"/>
      <c r="EH205" s="201"/>
      <c r="EI205" s="201"/>
      <c r="EJ205" s="201"/>
      <c r="EK205" s="201"/>
      <c r="EL205" s="201"/>
      <c r="EM205" s="201"/>
      <c r="EN205" s="201"/>
      <c r="EO205" s="201"/>
      <c r="EP205" s="201"/>
      <c r="EQ205" s="201"/>
      <c r="ER205" s="201"/>
      <c r="ES205" s="201"/>
    </row>
    <row r="206" spans="17:149" s="146" customFormat="1">
      <c r="Q206" s="145"/>
      <c r="R206" s="145"/>
      <c r="AR206" s="201"/>
      <c r="AS206" s="201"/>
      <c r="AT206" s="201"/>
      <c r="AU206" s="201"/>
      <c r="AV206" s="201"/>
      <c r="AW206" s="201"/>
      <c r="AX206" s="201"/>
      <c r="AY206" s="201"/>
      <c r="AZ206" s="201"/>
      <c r="BA206" s="201"/>
      <c r="BB206" s="201"/>
      <c r="BC206" s="201"/>
      <c r="BD206" s="201"/>
      <c r="BE206" s="201"/>
      <c r="BF206" s="201"/>
      <c r="BG206" s="201"/>
      <c r="BH206" s="201"/>
      <c r="BI206" s="201"/>
      <c r="BJ206" s="201"/>
      <c r="BK206" s="201"/>
      <c r="BL206" s="201"/>
      <c r="BM206" s="201"/>
      <c r="BN206" s="201"/>
      <c r="BO206" s="201"/>
      <c r="BP206" s="201"/>
      <c r="BQ206" s="201"/>
      <c r="BR206" s="201"/>
      <c r="BS206" s="201"/>
      <c r="BT206" s="201"/>
      <c r="BU206" s="201"/>
      <c r="BV206" s="201"/>
      <c r="BW206" s="201"/>
      <c r="BX206" s="201"/>
      <c r="BY206" s="201"/>
      <c r="BZ206" s="201"/>
      <c r="CA206" s="201"/>
      <c r="CB206" s="201"/>
      <c r="CC206" s="201"/>
      <c r="CD206" s="201"/>
      <c r="CE206" s="201"/>
      <c r="CF206" s="201"/>
      <c r="CG206" s="201"/>
      <c r="CH206" s="201"/>
      <c r="CI206" s="201"/>
      <c r="CJ206" s="201"/>
      <c r="CK206" s="201"/>
      <c r="CL206" s="201"/>
      <c r="CM206" s="201"/>
      <c r="CN206" s="201"/>
      <c r="CO206" s="201"/>
      <c r="CP206" s="201"/>
      <c r="CQ206" s="201"/>
      <c r="CR206" s="201"/>
      <c r="CS206" s="201"/>
      <c r="CT206" s="201"/>
      <c r="CU206" s="201"/>
      <c r="CV206" s="201"/>
      <c r="CW206" s="201"/>
      <c r="CX206" s="201"/>
      <c r="CY206" s="201"/>
      <c r="CZ206" s="201"/>
      <c r="DA206" s="201"/>
      <c r="DB206" s="201"/>
      <c r="DC206" s="201"/>
      <c r="DD206" s="201"/>
      <c r="DE206" s="201"/>
      <c r="DF206" s="201"/>
      <c r="DG206" s="201"/>
      <c r="DH206" s="201"/>
      <c r="DI206" s="201"/>
      <c r="DJ206" s="201"/>
      <c r="DK206" s="201"/>
      <c r="DL206" s="201"/>
      <c r="DM206" s="201"/>
      <c r="DN206" s="201"/>
      <c r="DO206" s="201"/>
      <c r="DP206" s="201"/>
      <c r="DQ206" s="201"/>
      <c r="DR206" s="201"/>
      <c r="DS206" s="201"/>
      <c r="DT206" s="201"/>
      <c r="DU206" s="201"/>
      <c r="DV206" s="201"/>
      <c r="DW206" s="201"/>
      <c r="DX206" s="201"/>
      <c r="DY206" s="201"/>
      <c r="DZ206" s="201"/>
      <c r="EA206" s="201"/>
      <c r="EB206" s="201"/>
      <c r="EC206" s="201"/>
      <c r="ED206" s="201"/>
      <c r="EE206" s="201"/>
      <c r="EF206" s="201"/>
      <c r="EG206" s="201"/>
      <c r="EH206" s="201"/>
      <c r="EI206" s="201"/>
      <c r="EJ206" s="201"/>
      <c r="EK206" s="201"/>
      <c r="EL206" s="201"/>
      <c r="EM206" s="201"/>
      <c r="EN206" s="201"/>
      <c r="EO206" s="201"/>
      <c r="EP206" s="201"/>
      <c r="EQ206" s="201"/>
      <c r="ER206" s="201"/>
      <c r="ES206" s="201"/>
    </row>
    <row r="207" spans="17:149" s="146" customFormat="1">
      <c r="Q207" s="145"/>
      <c r="R207" s="145"/>
      <c r="AR207" s="201"/>
      <c r="AS207" s="201"/>
      <c r="AT207" s="201"/>
      <c r="AU207" s="201"/>
      <c r="AV207" s="201"/>
      <c r="AW207" s="201"/>
      <c r="AX207" s="201"/>
      <c r="AY207" s="201"/>
      <c r="AZ207" s="201"/>
      <c r="BA207" s="201"/>
      <c r="BB207" s="201"/>
      <c r="BC207" s="201"/>
      <c r="BD207" s="201"/>
      <c r="BE207" s="201"/>
      <c r="BF207" s="201"/>
      <c r="BG207" s="201"/>
      <c r="BH207" s="201"/>
      <c r="BI207" s="201"/>
      <c r="BJ207" s="201"/>
      <c r="BK207" s="201"/>
      <c r="BL207" s="201"/>
      <c r="BM207" s="201"/>
      <c r="BN207" s="201"/>
      <c r="BO207" s="201"/>
      <c r="BP207" s="201"/>
      <c r="BQ207" s="201"/>
      <c r="BR207" s="201"/>
      <c r="BS207" s="201"/>
      <c r="BT207" s="201"/>
      <c r="BU207" s="201"/>
      <c r="BV207" s="201"/>
      <c r="BW207" s="201"/>
      <c r="BX207" s="201"/>
      <c r="BY207" s="201"/>
      <c r="BZ207" s="201"/>
      <c r="CA207" s="201"/>
      <c r="CB207" s="201"/>
      <c r="CC207" s="201"/>
      <c r="CD207" s="201"/>
      <c r="CE207" s="201"/>
      <c r="CF207" s="201"/>
      <c r="CG207" s="201"/>
      <c r="CH207" s="201"/>
      <c r="CI207" s="201"/>
      <c r="CJ207" s="201"/>
      <c r="CK207" s="201"/>
      <c r="CL207" s="201"/>
      <c r="CM207" s="201"/>
      <c r="CN207" s="201"/>
      <c r="CO207" s="201"/>
      <c r="CP207" s="201"/>
      <c r="CQ207" s="201"/>
      <c r="CR207" s="201"/>
      <c r="CS207" s="201"/>
      <c r="CT207" s="201"/>
      <c r="CU207" s="201"/>
      <c r="CV207" s="201"/>
      <c r="CW207" s="201"/>
      <c r="CX207" s="201"/>
      <c r="CY207" s="201"/>
      <c r="CZ207" s="201"/>
      <c r="DA207" s="201"/>
      <c r="DB207" s="201"/>
      <c r="DC207" s="201"/>
      <c r="DD207" s="201"/>
      <c r="DE207" s="201"/>
      <c r="DF207" s="201"/>
      <c r="DG207" s="201"/>
      <c r="DH207" s="201"/>
      <c r="DI207" s="201"/>
      <c r="DJ207" s="201"/>
      <c r="DK207" s="201"/>
      <c r="DL207" s="201"/>
      <c r="DM207" s="201"/>
      <c r="DN207" s="201"/>
      <c r="DO207" s="201"/>
      <c r="DP207" s="201"/>
      <c r="DQ207" s="201"/>
      <c r="DR207" s="201"/>
      <c r="DS207" s="201"/>
      <c r="DT207" s="201"/>
      <c r="DU207" s="201"/>
      <c r="DV207" s="201"/>
      <c r="DW207" s="201"/>
      <c r="DX207" s="201"/>
      <c r="DY207" s="201"/>
      <c r="DZ207" s="201"/>
      <c r="EA207" s="201"/>
      <c r="EB207" s="201"/>
      <c r="EC207" s="201"/>
      <c r="ED207" s="201"/>
      <c r="EE207" s="201"/>
      <c r="EF207" s="201"/>
      <c r="EG207" s="201"/>
      <c r="EH207" s="201"/>
      <c r="EI207" s="201"/>
      <c r="EJ207" s="201"/>
      <c r="EK207" s="201"/>
      <c r="EL207" s="201"/>
      <c r="EM207" s="201"/>
      <c r="EN207" s="201"/>
      <c r="EO207" s="201"/>
      <c r="EP207" s="201"/>
      <c r="EQ207" s="201"/>
      <c r="ER207" s="201"/>
      <c r="ES207" s="201"/>
    </row>
    <row r="208" spans="17:149" s="146" customFormat="1">
      <c r="Q208" s="145"/>
      <c r="R208" s="145"/>
      <c r="AR208" s="201"/>
      <c r="AS208" s="201"/>
      <c r="AT208" s="201"/>
      <c r="AU208" s="201"/>
      <c r="AV208" s="201"/>
      <c r="AW208" s="201"/>
      <c r="AX208" s="201"/>
      <c r="AY208" s="201"/>
      <c r="AZ208" s="201"/>
      <c r="BA208" s="201"/>
      <c r="BB208" s="201"/>
      <c r="BC208" s="201"/>
      <c r="BD208" s="201"/>
      <c r="BE208" s="201"/>
      <c r="BF208" s="201"/>
      <c r="BG208" s="201"/>
      <c r="BH208" s="201"/>
      <c r="BI208" s="201"/>
      <c r="BJ208" s="201"/>
      <c r="BK208" s="201"/>
      <c r="BL208" s="201"/>
      <c r="BM208" s="201"/>
      <c r="BN208" s="201"/>
      <c r="BO208" s="201"/>
      <c r="BP208" s="201"/>
      <c r="BQ208" s="201"/>
      <c r="BR208" s="201"/>
      <c r="BS208" s="201"/>
      <c r="BT208" s="201"/>
      <c r="BU208" s="201"/>
      <c r="BV208" s="201"/>
      <c r="BW208" s="201"/>
      <c r="BX208" s="201"/>
      <c r="BY208" s="201"/>
      <c r="BZ208" s="201"/>
      <c r="CA208" s="201"/>
      <c r="CB208" s="201"/>
      <c r="CC208" s="201"/>
      <c r="CD208" s="201"/>
      <c r="CE208" s="201"/>
      <c r="CF208" s="201"/>
      <c r="CG208" s="201"/>
      <c r="CH208" s="201"/>
      <c r="CI208" s="201"/>
      <c r="CJ208" s="201"/>
      <c r="CK208" s="201"/>
      <c r="CL208" s="201"/>
      <c r="CM208" s="201"/>
      <c r="CN208" s="201"/>
      <c r="CO208" s="201"/>
      <c r="CP208" s="201"/>
      <c r="CQ208" s="201"/>
      <c r="CR208" s="201"/>
      <c r="CS208" s="201"/>
      <c r="CT208" s="201"/>
      <c r="CU208" s="201"/>
      <c r="CV208" s="201"/>
      <c r="CW208" s="201"/>
      <c r="CX208" s="201"/>
      <c r="CY208" s="201"/>
      <c r="CZ208" s="201"/>
      <c r="DA208" s="201"/>
      <c r="DB208" s="201"/>
      <c r="DC208" s="201"/>
      <c r="DD208" s="201"/>
      <c r="DE208" s="201"/>
      <c r="DF208" s="201"/>
      <c r="DG208" s="201"/>
      <c r="DH208" s="201"/>
      <c r="DI208" s="201"/>
      <c r="DJ208" s="201"/>
      <c r="DK208" s="201"/>
      <c r="DL208" s="201"/>
      <c r="DM208" s="201"/>
      <c r="DN208" s="201"/>
      <c r="DO208" s="201"/>
      <c r="DP208" s="201"/>
      <c r="DQ208" s="201"/>
      <c r="DR208" s="201"/>
      <c r="DS208" s="201"/>
      <c r="DT208" s="201"/>
      <c r="DU208" s="201"/>
      <c r="DV208" s="201"/>
      <c r="DW208" s="201"/>
      <c r="DX208" s="201"/>
      <c r="DY208" s="201"/>
      <c r="DZ208" s="201"/>
      <c r="EA208" s="201"/>
      <c r="EB208" s="201"/>
      <c r="EC208" s="201"/>
      <c r="ED208" s="201"/>
      <c r="EE208" s="201"/>
      <c r="EF208" s="201"/>
      <c r="EG208" s="201"/>
      <c r="EH208" s="201"/>
      <c r="EI208" s="201"/>
      <c r="EJ208" s="201"/>
      <c r="EK208" s="201"/>
      <c r="EL208" s="201"/>
      <c r="EM208" s="201"/>
      <c r="EN208" s="201"/>
      <c r="EO208" s="201"/>
      <c r="EP208" s="201"/>
      <c r="EQ208" s="201"/>
      <c r="ER208" s="201"/>
      <c r="ES208" s="201"/>
    </row>
    <row r="209" spans="17:149" s="146" customFormat="1">
      <c r="Q209" s="145"/>
      <c r="R209" s="145"/>
      <c r="AR209" s="201"/>
      <c r="AS209" s="201"/>
      <c r="AT209" s="201"/>
      <c r="AU209" s="201"/>
      <c r="AV209" s="201"/>
      <c r="AW209" s="201"/>
      <c r="AX209" s="201"/>
      <c r="AY209" s="201"/>
      <c r="AZ209" s="201"/>
      <c r="BA209" s="201"/>
      <c r="BB209" s="201"/>
      <c r="BC209" s="201"/>
      <c r="BD209" s="201"/>
      <c r="BE209" s="201"/>
      <c r="BF209" s="201"/>
      <c r="BG209" s="201"/>
      <c r="BH209" s="201"/>
      <c r="BI209" s="201"/>
      <c r="BJ209" s="201"/>
      <c r="BK209" s="201"/>
      <c r="BL209" s="201"/>
      <c r="BM209" s="201"/>
      <c r="BN209" s="201"/>
      <c r="BO209" s="201"/>
      <c r="BP209" s="201"/>
      <c r="BQ209" s="201"/>
      <c r="BR209" s="201"/>
      <c r="BS209" s="201"/>
      <c r="BT209" s="201"/>
      <c r="BU209" s="201"/>
      <c r="BV209" s="201"/>
      <c r="BW209" s="201"/>
      <c r="BX209" s="201"/>
      <c r="BY209" s="201"/>
      <c r="BZ209" s="201"/>
      <c r="CA209" s="201"/>
      <c r="CB209" s="201"/>
      <c r="CC209" s="201"/>
      <c r="CD209" s="201"/>
      <c r="CE209" s="201"/>
      <c r="CF209" s="201"/>
      <c r="CG209" s="201"/>
      <c r="CH209" s="201"/>
      <c r="CI209" s="201"/>
      <c r="CJ209" s="201"/>
      <c r="CK209" s="201"/>
      <c r="CL209" s="201"/>
      <c r="CM209" s="201"/>
      <c r="CN209" s="201"/>
      <c r="CO209" s="201"/>
      <c r="CP209" s="201"/>
      <c r="CQ209" s="201"/>
      <c r="CR209" s="201"/>
      <c r="CS209" s="201"/>
      <c r="CT209" s="201"/>
      <c r="CU209" s="201"/>
      <c r="CV209" s="201"/>
      <c r="CW209" s="201"/>
      <c r="CX209" s="201"/>
      <c r="CY209" s="201"/>
      <c r="CZ209" s="201"/>
      <c r="DA209" s="201"/>
      <c r="DB209" s="201"/>
      <c r="DC209" s="201"/>
      <c r="DD209" s="201"/>
      <c r="DE209" s="201"/>
      <c r="DF209" s="201"/>
      <c r="DG209" s="201"/>
      <c r="DH209" s="201"/>
      <c r="DI209" s="201"/>
      <c r="DJ209" s="201"/>
      <c r="DK209" s="201"/>
      <c r="DL209" s="201"/>
      <c r="DM209" s="201"/>
      <c r="DN209" s="201"/>
      <c r="DO209" s="201"/>
      <c r="DP209" s="201"/>
      <c r="DQ209" s="201"/>
      <c r="DR209" s="201"/>
      <c r="DS209" s="201"/>
      <c r="DT209" s="201"/>
      <c r="DU209" s="201"/>
      <c r="DV209" s="201"/>
      <c r="DW209" s="201"/>
      <c r="DX209" s="201"/>
      <c r="DY209" s="201"/>
      <c r="DZ209" s="201"/>
      <c r="EA209" s="201"/>
      <c r="EB209" s="201"/>
      <c r="EC209" s="201"/>
      <c r="ED209" s="201"/>
      <c r="EE209" s="201"/>
      <c r="EF209" s="201"/>
      <c r="EG209" s="201"/>
      <c r="EH209" s="201"/>
      <c r="EI209" s="201"/>
      <c r="EJ209" s="201"/>
      <c r="EK209" s="201"/>
      <c r="EL209" s="201"/>
      <c r="EM209" s="201"/>
      <c r="EN209" s="201"/>
      <c r="EO209" s="201"/>
      <c r="EP209" s="201"/>
      <c r="EQ209" s="201"/>
      <c r="ER209" s="201"/>
      <c r="ES209" s="201"/>
    </row>
    <row r="210" spans="17:149" s="146" customFormat="1">
      <c r="Q210" s="145"/>
      <c r="R210" s="145"/>
      <c r="AR210" s="201"/>
      <c r="AS210" s="201"/>
      <c r="AT210" s="201"/>
      <c r="AU210" s="201"/>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c r="BP210" s="201"/>
      <c r="BQ210" s="201"/>
      <c r="BR210" s="201"/>
      <c r="BS210" s="201"/>
      <c r="BT210" s="201"/>
      <c r="BU210" s="201"/>
      <c r="BV210" s="201"/>
      <c r="BW210" s="201"/>
      <c r="BX210" s="201"/>
      <c r="BY210" s="201"/>
      <c r="BZ210" s="201"/>
      <c r="CA210" s="201"/>
      <c r="CB210" s="201"/>
      <c r="CC210" s="201"/>
      <c r="CD210" s="201"/>
      <c r="CE210" s="201"/>
      <c r="CF210" s="201"/>
      <c r="CG210" s="201"/>
      <c r="CH210" s="201"/>
      <c r="CI210" s="201"/>
      <c r="CJ210" s="201"/>
      <c r="CK210" s="201"/>
      <c r="CL210" s="201"/>
      <c r="CM210" s="201"/>
      <c r="CN210" s="201"/>
      <c r="CO210" s="201"/>
      <c r="CP210" s="201"/>
      <c r="CQ210" s="201"/>
      <c r="CR210" s="201"/>
      <c r="CS210" s="201"/>
      <c r="CT210" s="201"/>
      <c r="CU210" s="201"/>
      <c r="CV210" s="201"/>
      <c r="CW210" s="201"/>
      <c r="CX210" s="201"/>
      <c r="CY210" s="201"/>
      <c r="CZ210" s="201"/>
      <c r="DA210" s="201"/>
      <c r="DB210" s="201"/>
      <c r="DC210" s="201"/>
      <c r="DD210" s="201"/>
      <c r="DE210" s="201"/>
      <c r="DF210" s="201"/>
      <c r="DG210" s="201"/>
      <c r="DH210" s="201"/>
      <c r="DI210" s="201"/>
      <c r="DJ210" s="201"/>
      <c r="DK210" s="201"/>
      <c r="DL210" s="201"/>
      <c r="DM210" s="201"/>
      <c r="DN210" s="201"/>
      <c r="DO210" s="201"/>
      <c r="DP210" s="201"/>
      <c r="DQ210" s="201"/>
      <c r="DR210" s="201"/>
      <c r="DS210" s="201"/>
      <c r="DT210" s="201"/>
      <c r="DU210" s="201"/>
      <c r="DV210" s="201"/>
      <c r="DW210" s="201"/>
      <c r="DX210" s="201"/>
      <c r="DY210" s="201"/>
      <c r="DZ210" s="201"/>
      <c r="EA210" s="201"/>
      <c r="EB210" s="201"/>
      <c r="EC210" s="201"/>
      <c r="ED210" s="201"/>
      <c r="EE210" s="201"/>
      <c r="EF210" s="201"/>
      <c r="EG210" s="201"/>
      <c r="EH210" s="201"/>
      <c r="EI210" s="201"/>
      <c r="EJ210" s="201"/>
      <c r="EK210" s="201"/>
      <c r="EL210" s="201"/>
      <c r="EM210" s="201"/>
      <c r="EN210" s="201"/>
      <c r="EO210" s="201"/>
      <c r="EP210" s="201"/>
      <c r="EQ210" s="201"/>
      <c r="ER210" s="201"/>
      <c r="ES210" s="201"/>
    </row>
    <row r="211" spans="17:149" s="146" customFormat="1">
      <c r="Q211" s="145"/>
      <c r="R211" s="145"/>
      <c r="AR211" s="201"/>
      <c r="AS211" s="201"/>
      <c r="AT211" s="201"/>
      <c r="AU211" s="201"/>
      <c r="AV211" s="201"/>
      <c r="AW211" s="201"/>
      <c r="AX211" s="201"/>
      <c r="AY211" s="201"/>
      <c r="AZ211" s="201"/>
      <c r="BA211" s="201"/>
      <c r="BB211" s="201"/>
      <c r="BC211" s="201"/>
      <c r="BD211" s="201"/>
      <c r="BE211" s="201"/>
      <c r="BF211" s="201"/>
      <c r="BG211" s="201"/>
      <c r="BH211" s="201"/>
      <c r="BI211" s="201"/>
      <c r="BJ211" s="201"/>
      <c r="BK211" s="201"/>
      <c r="BL211" s="201"/>
      <c r="BM211" s="201"/>
      <c r="BN211" s="201"/>
      <c r="BO211" s="201"/>
      <c r="BP211" s="201"/>
      <c r="BQ211" s="201"/>
      <c r="BR211" s="201"/>
      <c r="BS211" s="201"/>
      <c r="BT211" s="201"/>
      <c r="BU211" s="201"/>
      <c r="BV211" s="201"/>
      <c r="BW211" s="201"/>
      <c r="BX211" s="201"/>
      <c r="BY211" s="201"/>
      <c r="BZ211" s="201"/>
      <c r="CA211" s="201"/>
      <c r="CB211" s="201"/>
      <c r="CC211" s="201"/>
      <c r="CD211" s="201"/>
      <c r="CE211" s="201"/>
      <c r="CF211" s="201"/>
      <c r="CG211" s="201"/>
      <c r="CH211" s="201"/>
      <c r="CI211" s="201"/>
      <c r="CJ211" s="201"/>
      <c r="CK211" s="201"/>
      <c r="CL211" s="201"/>
      <c r="CM211" s="201"/>
      <c r="CN211" s="201"/>
      <c r="CO211" s="201"/>
      <c r="CP211" s="201"/>
      <c r="CQ211" s="201"/>
      <c r="CR211" s="201"/>
      <c r="CS211" s="201"/>
      <c r="CT211" s="201"/>
      <c r="CU211" s="201"/>
      <c r="CV211" s="201"/>
      <c r="CW211" s="201"/>
      <c r="CX211" s="201"/>
      <c r="CY211" s="201"/>
      <c r="CZ211" s="201"/>
      <c r="DA211" s="201"/>
      <c r="DB211" s="201"/>
      <c r="DC211" s="201"/>
      <c r="DD211" s="201"/>
      <c r="DE211" s="201"/>
      <c r="DF211" s="201"/>
      <c r="DG211" s="201"/>
      <c r="DH211" s="201"/>
      <c r="DI211" s="201"/>
      <c r="DJ211" s="201"/>
      <c r="DK211" s="201"/>
      <c r="DL211" s="201"/>
      <c r="DM211" s="201"/>
      <c r="DN211" s="201"/>
      <c r="DO211" s="201"/>
      <c r="DP211" s="201"/>
      <c r="DQ211" s="201"/>
      <c r="DR211" s="201"/>
      <c r="DS211" s="201"/>
      <c r="DT211" s="201"/>
      <c r="DU211" s="201"/>
      <c r="DV211" s="201"/>
      <c r="DW211" s="201"/>
      <c r="DX211" s="201"/>
      <c r="DY211" s="201"/>
      <c r="DZ211" s="201"/>
      <c r="EA211" s="201"/>
      <c r="EB211" s="201"/>
      <c r="EC211" s="201"/>
      <c r="ED211" s="201"/>
      <c r="EE211" s="201"/>
      <c r="EF211" s="201"/>
      <c r="EG211" s="201"/>
      <c r="EH211" s="201"/>
      <c r="EI211" s="201"/>
      <c r="EJ211" s="201"/>
      <c r="EK211" s="201"/>
      <c r="EL211" s="201"/>
      <c r="EM211" s="201"/>
      <c r="EN211" s="201"/>
      <c r="EO211" s="201"/>
      <c r="EP211" s="201"/>
      <c r="EQ211" s="201"/>
      <c r="ER211" s="201"/>
      <c r="ES211" s="201"/>
    </row>
    <row r="212" spans="17:149" s="146" customFormat="1">
      <c r="Q212" s="145"/>
      <c r="R212" s="145"/>
      <c r="AR212" s="201"/>
      <c r="AS212" s="201"/>
      <c r="AT212" s="201"/>
      <c r="AU212" s="201"/>
      <c r="AV212" s="201"/>
      <c r="AW212" s="201"/>
      <c r="AX212" s="201"/>
      <c r="AY212" s="201"/>
      <c r="AZ212" s="201"/>
      <c r="BA212" s="201"/>
      <c r="BB212" s="201"/>
      <c r="BC212" s="201"/>
      <c r="BD212" s="201"/>
      <c r="BE212" s="201"/>
      <c r="BF212" s="201"/>
      <c r="BG212" s="201"/>
      <c r="BH212" s="201"/>
      <c r="BI212" s="201"/>
      <c r="BJ212" s="201"/>
      <c r="BK212" s="201"/>
      <c r="BL212" s="201"/>
      <c r="BM212" s="201"/>
      <c r="BN212" s="201"/>
      <c r="BO212" s="201"/>
      <c r="BP212" s="201"/>
      <c r="BQ212" s="201"/>
      <c r="BR212" s="201"/>
      <c r="BS212" s="201"/>
      <c r="BT212" s="201"/>
      <c r="BU212" s="201"/>
      <c r="BV212" s="201"/>
      <c r="BW212" s="201"/>
      <c r="BX212" s="201"/>
      <c r="BY212" s="201"/>
      <c r="BZ212" s="201"/>
      <c r="CA212" s="201"/>
      <c r="CB212" s="201"/>
      <c r="CC212" s="201"/>
      <c r="CD212" s="201"/>
      <c r="CE212" s="201"/>
      <c r="CF212" s="201"/>
      <c r="CG212" s="201"/>
      <c r="CH212" s="201"/>
      <c r="CI212" s="201"/>
      <c r="CJ212" s="201"/>
      <c r="CK212" s="201"/>
      <c r="CL212" s="201"/>
      <c r="CM212" s="201"/>
      <c r="CN212" s="201"/>
      <c r="CO212" s="201"/>
      <c r="CP212" s="201"/>
      <c r="CQ212" s="201"/>
      <c r="CR212" s="201"/>
      <c r="CS212" s="201"/>
      <c r="CT212" s="201"/>
      <c r="CU212" s="201"/>
      <c r="CV212" s="201"/>
      <c r="CW212" s="201"/>
      <c r="CX212" s="201"/>
      <c r="CY212" s="201"/>
      <c r="CZ212" s="201"/>
      <c r="DA212" s="201"/>
      <c r="DB212" s="201"/>
      <c r="DC212" s="201"/>
      <c r="DD212" s="201"/>
      <c r="DE212" s="201"/>
      <c r="DF212" s="201"/>
      <c r="DG212" s="201"/>
      <c r="DH212" s="201"/>
      <c r="DI212" s="201"/>
      <c r="DJ212" s="201"/>
      <c r="DK212" s="201"/>
      <c r="DL212" s="201"/>
      <c r="DM212" s="201"/>
      <c r="DN212" s="201"/>
      <c r="DO212" s="201"/>
      <c r="DP212" s="201"/>
      <c r="DQ212" s="201"/>
      <c r="DR212" s="201"/>
      <c r="DS212" s="201"/>
      <c r="DT212" s="201"/>
      <c r="DU212" s="201"/>
      <c r="DV212" s="201"/>
      <c r="DW212" s="201"/>
      <c r="DX212" s="201"/>
      <c r="DY212" s="201"/>
      <c r="DZ212" s="201"/>
      <c r="EA212" s="201"/>
      <c r="EB212" s="201"/>
      <c r="EC212" s="201"/>
      <c r="ED212" s="201"/>
      <c r="EE212" s="201"/>
      <c r="EF212" s="201"/>
      <c r="EG212" s="201"/>
      <c r="EH212" s="201"/>
      <c r="EI212" s="201"/>
      <c r="EJ212" s="201"/>
      <c r="EK212" s="201"/>
      <c r="EL212" s="201"/>
      <c r="EM212" s="201"/>
      <c r="EN212" s="201"/>
      <c r="EO212" s="201"/>
      <c r="EP212" s="201"/>
      <c r="EQ212" s="201"/>
      <c r="ER212" s="201"/>
      <c r="ES212" s="201"/>
    </row>
    <row r="213" spans="17:149" s="146" customFormat="1">
      <c r="Q213" s="145"/>
      <c r="R213" s="145"/>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1"/>
      <c r="BR213" s="201"/>
      <c r="BS213" s="201"/>
      <c r="BT213" s="201"/>
      <c r="BU213" s="201"/>
      <c r="BV213" s="201"/>
      <c r="BW213" s="201"/>
      <c r="BX213" s="201"/>
      <c r="BY213" s="201"/>
      <c r="BZ213" s="201"/>
      <c r="CA213" s="201"/>
      <c r="CB213" s="201"/>
      <c r="CC213" s="201"/>
      <c r="CD213" s="201"/>
      <c r="CE213" s="201"/>
      <c r="CF213" s="201"/>
      <c r="CG213" s="201"/>
      <c r="CH213" s="201"/>
      <c r="CI213" s="201"/>
      <c r="CJ213" s="201"/>
      <c r="CK213" s="201"/>
      <c r="CL213" s="201"/>
      <c r="CM213" s="201"/>
      <c r="CN213" s="201"/>
      <c r="CO213" s="201"/>
      <c r="CP213" s="201"/>
      <c r="CQ213" s="201"/>
      <c r="CR213" s="201"/>
      <c r="CS213" s="201"/>
      <c r="CT213" s="201"/>
      <c r="CU213" s="201"/>
      <c r="CV213" s="201"/>
      <c r="CW213" s="201"/>
      <c r="CX213" s="201"/>
      <c r="CY213" s="201"/>
      <c r="CZ213" s="201"/>
      <c r="DA213" s="201"/>
      <c r="DB213" s="201"/>
      <c r="DC213" s="201"/>
      <c r="DD213" s="201"/>
      <c r="DE213" s="201"/>
      <c r="DF213" s="201"/>
      <c r="DG213" s="201"/>
      <c r="DH213" s="201"/>
      <c r="DI213" s="201"/>
      <c r="DJ213" s="201"/>
      <c r="DK213" s="201"/>
      <c r="DL213" s="201"/>
      <c r="DM213" s="201"/>
      <c r="DN213" s="201"/>
      <c r="DO213" s="201"/>
      <c r="DP213" s="201"/>
      <c r="DQ213" s="201"/>
      <c r="DR213" s="201"/>
      <c r="DS213" s="201"/>
      <c r="DT213" s="201"/>
      <c r="DU213" s="201"/>
      <c r="DV213" s="201"/>
      <c r="DW213" s="201"/>
      <c r="DX213" s="201"/>
      <c r="DY213" s="201"/>
      <c r="DZ213" s="201"/>
      <c r="EA213" s="201"/>
      <c r="EB213" s="201"/>
      <c r="EC213" s="201"/>
      <c r="ED213" s="201"/>
      <c r="EE213" s="201"/>
      <c r="EF213" s="201"/>
      <c r="EG213" s="201"/>
      <c r="EH213" s="201"/>
      <c r="EI213" s="201"/>
      <c r="EJ213" s="201"/>
      <c r="EK213" s="201"/>
      <c r="EL213" s="201"/>
      <c r="EM213" s="201"/>
      <c r="EN213" s="201"/>
      <c r="EO213" s="201"/>
      <c r="EP213" s="201"/>
      <c r="EQ213" s="201"/>
      <c r="ER213" s="201"/>
      <c r="ES213" s="201"/>
    </row>
    <row r="214" spans="17:149" s="146" customFormat="1">
      <c r="Q214" s="145"/>
      <c r="R214" s="145"/>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1"/>
      <c r="BR214" s="201"/>
      <c r="BS214" s="201"/>
      <c r="BT214" s="201"/>
      <c r="BU214" s="201"/>
      <c r="BV214" s="201"/>
      <c r="BW214" s="201"/>
      <c r="BX214" s="201"/>
      <c r="BY214" s="201"/>
      <c r="BZ214" s="201"/>
      <c r="CA214" s="201"/>
      <c r="CB214" s="201"/>
      <c r="CC214" s="201"/>
      <c r="CD214" s="201"/>
      <c r="CE214" s="201"/>
      <c r="CF214" s="201"/>
      <c r="CG214" s="201"/>
      <c r="CH214" s="201"/>
      <c r="CI214" s="201"/>
      <c r="CJ214" s="201"/>
      <c r="CK214" s="201"/>
      <c r="CL214" s="201"/>
      <c r="CM214" s="201"/>
      <c r="CN214" s="201"/>
      <c r="CO214" s="201"/>
      <c r="CP214" s="201"/>
      <c r="CQ214" s="201"/>
      <c r="CR214" s="201"/>
      <c r="CS214" s="201"/>
      <c r="CT214" s="201"/>
      <c r="CU214" s="201"/>
      <c r="CV214" s="201"/>
      <c r="CW214" s="201"/>
      <c r="CX214" s="201"/>
      <c r="CY214" s="201"/>
      <c r="CZ214" s="201"/>
      <c r="DA214" s="201"/>
      <c r="DB214" s="201"/>
      <c r="DC214" s="201"/>
      <c r="DD214" s="201"/>
      <c r="DE214" s="201"/>
      <c r="DF214" s="201"/>
      <c r="DG214" s="201"/>
      <c r="DH214" s="201"/>
      <c r="DI214" s="201"/>
      <c r="DJ214" s="201"/>
      <c r="DK214" s="201"/>
      <c r="DL214" s="201"/>
      <c r="DM214" s="201"/>
      <c r="DN214" s="201"/>
      <c r="DO214" s="201"/>
      <c r="DP214" s="201"/>
      <c r="DQ214" s="201"/>
      <c r="DR214" s="201"/>
      <c r="DS214" s="201"/>
      <c r="DT214" s="201"/>
      <c r="DU214" s="201"/>
      <c r="DV214" s="201"/>
      <c r="DW214" s="201"/>
      <c r="DX214" s="201"/>
      <c r="DY214" s="201"/>
      <c r="DZ214" s="201"/>
      <c r="EA214" s="201"/>
      <c r="EB214" s="201"/>
      <c r="EC214" s="201"/>
      <c r="ED214" s="201"/>
      <c r="EE214" s="201"/>
      <c r="EF214" s="201"/>
      <c r="EG214" s="201"/>
      <c r="EH214" s="201"/>
      <c r="EI214" s="201"/>
      <c r="EJ214" s="201"/>
      <c r="EK214" s="201"/>
      <c r="EL214" s="201"/>
      <c r="EM214" s="201"/>
      <c r="EN214" s="201"/>
      <c r="EO214" s="201"/>
      <c r="EP214" s="201"/>
      <c r="EQ214" s="201"/>
      <c r="ER214" s="201"/>
      <c r="ES214" s="201"/>
    </row>
    <row r="215" spans="17:149" s="146" customFormat="1">
      <c r="Q215" s="145"/>
      <c r="R215" s="145"/>
      <c r="AR215" s="201"/>
      <c r="AS215" s="201"/>
      <c r="AT215" s="201"/>
      <c r="AU215" s="201"/>
      <c r="AV215" s="201"/>
      <c r="AW215" s="201"/>
      <c r="AX215" s="201"/>
      <c r="AY215" s="201"/>
      <c r="AZ215" s="201"/>
      <c r="BA215" s="201"/>
      <c r="BB215" s="201"/>
      <c r="BC215" s="201"/>
      <c r="BD215" s="201"/>
      <c r="BE215" s="201"/>
      <c r="BF215" s="201"/>
      <c r="BG215" s="201"/>
      <c r="BH215" s="201"/>
      <c r="BI215" s="201"/>
      <c r="BJ215" s="201"/>
      <c r="BK215" s="201"/>
      <c r="BL215" s="201"/>
      <c r="BM215" s="201"/>
      <c r="BN215" s="201"/>
      <c r="BO215" s="201"/>
      <c r="BP215" s="201"/>
      <c r="BQ215" s="201"/>
      <c r="BR215" s="201"/>
      <c r="BS215" s="201"/>
      <c r="BT215" s="201"/>
      <c r="BU215" s="201"/>
      <c r="BV215" s="201"/>
      <c r="BW215" s="201"/>
      <c r="BX215" s="201"/>
      <c r="BY215" s="201"/>
      <c r="BZ215" s="201"/>
      <c r="CA215" s="201"/>
      <c r="CB215" s="201"/>
      <c r="CC215" s="201"/>
      <c r="CD215" s="201"/>
      <c r="CE215" s="201"/>
      <c r="CF215" s="201"/>
      <c r="CG215" s="201"/>
      <c r="CH215" s="201"/>
      <c r="CI215" s="201"/>
      <c r="CJ215" s="201"/>
      <c r="CK215" s="201"/>
      <c r="CL215" s="201"/>
      <c r="CM215" s="201"/>
      <c r="CN215" s="201"/>
      <c r="CO215" s="201"/>
      <c r="CP215" s="201"/>
      <c r="CQ215" s="201"/>
      <c r="CR215" s="201"/>
      <c r="CS215" s="201"/>
      <c r="CT215" s="201"/>
      <c r="CU215" s="201"/>
      <c r="CV215" s="201"/>
      <c r="CW215" s="201"/>
      <c r="CX215" s="201"/>
      <c r="CY215" s="201"/>
      <c r="CZ215" s="201"/>
      <c r="DA215" s="201"/>
      <c r="DB215" s="201"/>
      <c r="DC215" s="201"/>
      <c r="DD215" s="201"/>
      <c r="DE215" s="201"/>
      <c r="DF215" s="201"/>
      <c r="DG215" s="201"/>
      <c r="DH215" s="201"/>
      <c r="DI215" s="201"/>
      <c r="DJ215" s="201"/>
      <c r="DK215" s="201"/>
      <c r="DL215" s="201"/>
      <c r="DM215" s="201"/>
      <c r="DN215" s="201"/>
      <c r="DO215" s="201"/>
      <c r="DP215" s="201"/>
      <c r="DQ215" s="201"/>
      <c r="DR215" s="201"/>
      <c r="DS215" s="201"/>
      <c r="DT215" s="201"/>
      <c r="DU215" s="201"/>
      <c r="DV215" s="201"/>
      <c r="DW215" s="201"/>
      <c r="DX215" s="201"/>
      <c r="DY215" s="201"/>
      <c r="DZ215" s="201"/>
      <c r="EA215" s="201"/>
      <c r="EB215" s="201"/>
      <c r="EC215" s="201"/>
      <c r="ED215" s="201"/>
      <c r="EE215" s="201"/>
      <c r="EF215" s="201"/>
      <c r="EG215" s="201"/>
      <c r="EH215" s="201"/>
      <c r="EI215" s="201"/>
      <c r="EJ215" s="201"/>
      <c r="EK215" s="201"/>
      <c r="EL215" s="201"/>
      <c r="EM215" s="201"/>
      <c r="EN215" s="201"/>
      <c r="EO215" s="201"/>
      <c r="EP215" s="201"/>
      <c r="EQ215" s="201"/>
      <c r="ER215" s="201"/>
      <c r="ES215" s="201"/>
    </row>
    <row r="216" spans="17:149" s="146" customFormat="1">
      <c r="Q216" s="145"/>
      <c r="R216" s="145"/>
      <c r="AR216" s="201"/>
      <c r="AS216" s="201"/>
      <c r="AT216" s="201"/>
      <c r="AU216" s="201"/>
      <c r="AV216" s="201"/>
      <c r="AW216" s="201"/>
      <c r="AX216" s="201"/>
      <c r="AY216" s="201"/>
      <c r="AZ216" s="201"/>
      <c r="BA216" s="201"/>
      <c r="BB216" s="201"/>
      <c r="BC216" s="201"/>
      <c r="BD216" s="201"/>
      <c r="BE216" s="201"/>
      <c r="BF216" s="201"/>
      <c r="BG216" s="201"/>
      <c r="BH216" s="201"/>
      <c r="BI216" s="201"/>
      <c r="BJ216" s="201"/>
      <c r="BK216" s="201"/>
      <c r="BL216" s="201"/>
      <c r="BM216" s="201"/>
      <c r="BN216" s="201"/>
      <c r="BO216" s="201"/>
      <c r="BP216" s="201"/>
      <c r="BQ216" s="201"/>
      <c r="BR216" s="201"/>
      <c r="BS216" s="201"/>
      <c r="BT216" s="201"/>
      <c r="BU216" s="201"/>
      <c r="BV216" s="201"/>
      <c r="BW216" s="201"/>
      <c r="BX216" s="201"/>
      <c r="BY216" s="201"/>
      <c r="BZ216" s="201"/>
      <c r="CA216" s="201"/>
      <c r="CB216" s="201"/>
      <c r="CC216" s="201"/>
      <c r="CD216" s="201"/>
      <c r="CE216" s="201"/>
      <c r="CF216" s="201"/>
      <c r="CG216" s="201"/>
      <c r="CH216" s="201"/>
      <c r="CI216" s="201"/>
      <c r="CJ216" s="201"/>
      <c r="CK216" s="201"/>
      <c r="CL216" s="201"/>
      <c r="CM216" s="201"/>
      <c r="CN216" s="201"/>
      <c r="CO216" s="201"/>
      <c r="CP216" s="201"/>
      <c r="CQ216" s="201"/>
      <c r="CR216" s="201"/>
      <c r="CS216" s="201"/>
      <c r="CT216" s="201"/>
      <c r="CU216" s="201"/>
      <c r="CV216" s="201"/>
      <c r="CW216" s="201"/>
      <c r="CX216" s="201"/>
      <c r="CY216" s="201"/>
      <c r="CZ216" s="201"/>
      <c r="DA216" s="201"/>
      <c r="DB216" s="201"/>
      <c r="DC216" s="201"/>
      <c r="DD216" s="201"/>
      <c r="DE216" s="201"/>
      <c r="DF216" s="201"/>
      <c r="DG216" s="201"/>
      <c r="DH216" s="201"/>
      <c r="DI216" s="201"/>
      <c r="DJ216" s="201"/>
      <c r="DK216" s="201"/>
      <c r="DL216" s="201"/>
      <c r="DM216" s="201"/>
      <c r="DN216" s="201"/>
      <c r="DO216" s="201"/>
      <c r="DP216" s="201"/>
      <c r="DQ216" s="201"/>
      <c r="DR216" s="201"/>
      <c r="DS216" s="201"/>
      <c r="DT216" s="201"/>
      <c r="DU216" s="201"/>
      <c r="DV216" s="201"/>
      <c r="DW216" s="201"/>
      <c r="DX216" s="201"/>
      <c r="DY216" s="201"/>
      <c r="DZ216" s="201"/>
      <c r="EA216" s="201"/>
      <c r="EB216" s="201"/>
      <c r="EC216" s="201"/>
      <c r="ED216" s="201"/>
      <c r="EE216" s="201"/>
      <c r="EF216" s="201"/>
      <c r="EG216" s="201"/>
      <c r="EH216" s="201"/>
      <c r="EI216" s="201"/>
      <c r="EJ216" s="201"/>
      <c r="EK216" s="201"/>
      <c r="EL216" s="201"/>
      <c r="EM216" s="201"/>
      <c r="EN216" s="201"/>
      <c r="EO216" s="201"/>
      <c r="EP216" s="201"/>
      <c r="EQ216" s="201"/>
      <c r="ER216" s="201"/>
      <c r="ES216" s="201"/>
    </row>
    <row r="217" spans="17:149" s="146" customFormat="1">
      <c r="Q217" s="145"/>
      <c r="R217" s="145"/>
      <c r="AR217" s="201"/>
      <c r="AS217" s="201"/>
      <c r="AT217" s="201"/>
      <c r="AU217" s="201"/>
      <c r="AV217" s="201"/>
      <c r="AW217" s="201"/>
      <c r="AX217" s="201"/>
      <c r="AY217" s="201"/>
      <c r="AZ217" s="201"/>
      <c r="BA217" s="201"/>
      <c r="BB217" s="201"/>
      <c r="BC217" s="201"/>
      <c r="BD217" s="201"/>
      <c r="BE217" s="201"/>
      <c r="BF217" s="201"/>
      <c r="BG217" s="201"/>
      <c r="BH217" s="201"/>
      <c r="BI217" s="201"/>
      <c r="BJ217" s="201"/>
      <c r="BK217" s="201"/>
      <c r="BL217" s="201"/>
      <c r="BM217" s="201"/>
      <c r="BN217" s="201"/>
      <c r="BO217" s="201"/>
      <c r="BP217" s="201"/>
      <c r="BQ217" s="201"/>
      <c r="BR217" s="201"/>
      <c r="BS217" s="201"/>
      <c r="BT217" s="201"/>
      <c r="BU217" s="201"/>
      <c r="BV217" s="201"/>
      <c r="BW217" s="201"/>
      <c r="BX217" s="201"/>
      <c r="BY217" s="201"/>
      <c r="BZ217" s="201"/>
      <c r="CA217" s="201"/>
      <c r="CB217" s="201"/>
      <c r="CC217" s="201"/>
      <c r="CD217" s="201"/>
      <c r="CE217" s="201"/>
      <c r="CF217" s="201"/>
      <c r="CG217" s="201"/>
      <c r="CH217" s="201"/>
      <c r="CI217" s="201"/>
      <c r="CJ217" s="201"/>
      <c r="CK217" s="201"/>
      <c r="CL217" s="201"/>
      <c r="CM217" s="201"/>
      <c r="CN217" s="201"/>
      <c r="CO217" s="201"/>
      <c r="CP217" s="201"/>
      <c r="CQ217" s="201"/>
      <c r="CR217" s="201"/>
      <c r="CS217" s="201"/>
      <c r="CT217" s="201"/>
      <c r="CU217" s="201"/>
      <c r="CV217" s="201"/>
      <c r="CW217" s="201"/>
      <c r="CX217" s="201"/>
      <c r="CY217" s="201"/>
      <c r="CZ217" s="201"/>
      <c r="DA217" s="201"/>
      <c r="DB217" s="201"/>
      <c r="DC217" s="201"/>
      <c r="DD217" s="201"/>
      <c r="DE217" s="201"/>
      <c r="DF217" s="201"/>
      <c r="DG217" s="201"/>
      <c r="DH217" s="201"/>
      <c r="DI217" s="201"/>
      <c r="DJ217" s="201"/>
      <c r="DK217" s="201"/>
      <c r="DL217" s="201"/>
      <c r="DM217" s="201"/>
      <c r="DN217" s="201"/>
      <c r="DO217" s="201"/>
      <c r="DP217" s="201"/>
      <c r="DQ217" s="201"/>
      <c r="DR217" s="201"/>
      <c r="DS217" s="201"/>
      <c r="DT217" s="201"/>
      <c r="DU217" s="201"/>
      <c r="DV217" s="201"/>
      <c r="DW217" s="201"/>
      <c r="DX217" s="201"/>
      <c r="DY217" s="201"/>
      <c r="DZ217" s="201"/>
      <c r="EA217" s="201"/>
      <c r="EB217" s="201"/>
      <c r="EC217" s="201"/>
      <c r="ED217" s="201"/>
      <c r="EE217" s="201"/>
      <c r="EF217" s="201"/>
      <c r="EG217" s="201"/>
      <c r="EH217" s="201"/>
      <c r="EI217" s="201"/>
      <c r="EJ217" s="201"/>
      <c r="EK217" s="201"/>
      <c r="EL217" s="201"/>
      <c r="EM217" s="201"/>
      <c r="EN217" s="201"/>
      <c r="EO217" s="201"/>
      <c r="EP217" s="201"/>
      <c r="EQ217" s="201"/>
      <c r="ER217" s="201"/>
      <c r="ES217" s="201"/>
    </row>
    <row r="218" spans="17:149" s="146" customFormat="1">
      <c r="Q218" s="145"/>
      <c r="R218" s="145"/>
      <c r="AR218" s="201"/>
      <c r="AS218" s="201"/>
      <c r="AT218" s="201"/>
      <c r="AU218" s="201"/>
      <c r="AV218" s="201"/>
      <c r="AW218" s="201"/>
      <c r="AX218" s="201"/>
      <c r="AY218" s="201"/>
      <c r="AZ218" s="201"/>
      <c r="BA218" s="201"/>
      <c r="BB218" s="201"/>
      <c r="BC218" s="201"/>
      <c r="BD218" s="201"/>
      <c r="BE218" s="201"/>
      <c r="BF218" s="201"/>
      <c r="BG218" s="201"/>
      <c r="BH218" s="201"/>
      <c r="BI218" s="201"/>
      <c r="BJ218" s="201"/>
      <c r="BK218" s="201"/>
      <c r="BL218" s="201"/>
      <c r="BM218" s="201"/>
      <c r="BN218" s="201"/>
      <c r="BO218" s="201"/>
      <c r="BP218" s="201"/>
      <c r="BQ218" s="201"/>
      <c r="BR218" s="201"/>
      <c r="BS218" s="201"/>
      <c r="BT218" s="201"/>
      <c r="BU218" s="201"/>
      <c r="BV218" s="201"/>
      <c r="BW218" s="201"/>
      <c r="BX218" s="201"/>
      <c r="BY218" s="201"/>
      <c r="BZ218" s="201"/>
      <c r="CA218" s="201"/>
      <c r="CB218" s="201"/>
      <c r="CC218" s="201"/>
      <c r="CD218" s="201"/>
      <c r="CE218" s="201"/>
      <c r="CF218" s="201"/>
      <c r="CG218" s="201"/>
      <c r="CH218" s="201"/>
      <c r="CI218" s="201"/>
      <c r="CJ218" s="201"/>
      <c r="CK218" s="201"/>
      <c r="CL218" s="201"/>
      <c r="CM218" s="201"/>
      <c r="CN218" s="201"/>
      <c r="CO218" s="201"/>
      <c r="CP218" s="201"/>
      <c r="CQ218" s="201"/>
      <c r="CR218" s="201"/>
      <c r="CS218" s="201"/>
      <c r="CT218" s="201"/>
      <c r="CU218" s="201"/>
      <c r="CV218" s="201"/>
      <c r="CW218" s="201"/>
      <c r="CX218" s="201"/>
      <c r="CY218" s="201"/>
      <c r="CZ218" s="201"/>
      <c r="DA218" s="201"/>
      <c r="DB218" s="201"/>
      <c r="DC218" s="201"/>
      <c r="DD218" s="201"/>
      <c r="DE218" s="201"/>
      <c r="DF218" s="201"/>
      <c r="DG218" s="201"/>
      <c r="DH218" s="201"/>
      <c r="DI218" s="201"/>
      <c r="DJ218" s="201"/>
      <c r="DK218" s="201"/>
      <c r="DL218" s="201"/>
      <c r="DM218" s="201"/>
      <c r="DN218" s="201"/>
      <c r="DO218" s="201"/>
      <c r="DP218" s="201"/>
      <c r="DQ218" s="201"/>
      <c r="DR218" s="201"/>
      <c r="DS218" s="201"/>
      <c r="DT218" s="201"/>
      <c r="DU218" s="201"/>
      <c r="DV218" s="201"/>
      <c r="DW218" s="201"/>
      <c r="DX218" s="201"/>
      <c r="DY218" s="201"/>
      <c r="DZ218" s="201"/>
      <c r="EA218" s="201"/>
      <c r="EB218" s="201"/>
      <c r="EC218" s="201"/>
      <c r="ED218" s="201"/>
      <c r="EE218" s="201"/>
      <c r="EF218" s="201"/>
      <c r="EG218" s="201"/>
      <c r="EH218" s="201"/>
      <c r="EI218" s="201"/>
      <c r="EJ218" s="201"/>
      <c r="EK218" s="201"/>
      <c r="EL218" s="201"/>
      <c r="EM218" s="201"/>
      <c r="EN218" s="201"/>
      <c r="EO218" s="201"/>
      <c r="EP218" s="201"/>
      <c r="EQ218" s="201"/>
      <c r="ER218" s="201"/>
      <c r="ES218" s="201"/>
    </row>
    <row r="219" spans="17:149" s="146" customFormat="1">
      <c r="Q219" s="145"/>
      <c r="R219" s="145"/>
      <c r="AR219" s="201"/>
      <c r="AS219" s="201"/>
      <c r="AT219" s="201"/>
      <c r="AU219" s="201"/>
      <c r="AV219" s="201"/>
      <c r="AW219" s="201"/>
      <c r="AX219" s="201"/>
      <c r="AY219" s="201"/>
      <c r="AZ219" s="201"/>
      <c r="BA219" s="201"/>
      <c r="BB219" s="201"/>
      <c r="BC219" s="201"/>
      <c r="BD219" s="201"/>
      <c r="BE219" s="201"/>
      <c r="BF219" s="201"/>
      <c r="BG219" s="201"/>
      <c r="BH219" s="201"/>
      <c r="BI219" s="201"/>
      <c r="BJ219" s="201"/>
      <c r="BK219" s="201"/>
      <c r="BL219" s="201"/>
      <c r="BM219" s="201"/>
      <c r="BN219" s="201"/>
      <c r="BO219" s="201"/>
      <c r="BP219" s="201"/>
      <c r="BQ219" s="201"/>
      <c r="BR219" s="201"/>
      <c r="BS219" s="201"/>
      <c r="BT219" s="201"/>
      <c r="BU219" s="201"/>
      <c r="BV219" s="201"/>
      <c r="BW219" s="201"/>
      <c r="BX219" s="201"/>
      <c r="BY219" s="201"/>
      <c r="BZ219" s="201"/>
      <c r="CA219" s="201"/>
      <c r="CB219" s="201"/>
      <c r="CC219" s="201"/>
      <c r="CD219" s="201"/>
      <c r="CE219" s="201"/>
      <c r="CF219" s="201"/>
      <c r="CG219" s="201"/>
      <c r="CH219" s="201"/>
      <c r="CI219" s="201"/>
      <c r="CJ219" s="201"/>
      <c r="CK219" s="201"/>
      <c r="CL219" s="201"/>
      <c r="CM219" s="201"/>
      <c r="CN219" s="201"/>
      <c r="CO219" s="201"/>
      <c r="CP219" s="201"/>
      <c r="CQ219" s="201"/>
      <c r="CR219" s="201"/>
      <c r="CS219" s="201"/>
      <c r="CT219" s="201"/>
      <c r="CU219" s="201"/>
      <c r="CV219" s="201"/>
      <c r="CW219" s="201"/>
      <c r="CX219" s="201"/>
      <c r="CY219" s="201"/>
      <c r="CZ219" s="201"/>
      <c r="DA219" s="201"/>
      <c r="DB219" s="201"/>
      <c r="DC219" s="201"/>
      <c r="DD219" s="201"/>
      <c r="DE219" s="201"/>
      <c r="DF219" s="201"/>
      <c r="DG219" s="201"/>
      <c r="DH219" s="201"/>
      <c r="DI219" s="201"/>
      <c r="DJ219" s="201"/>
      <c r="DK219" s="201"/>
      <c r="DL219" s="201"/>
      <c r="DM219" s="201"/>
      <c r="DN219" s="201"/>
      <c r="DO219" s="201"/>
      <c r="DP219" s="201"/>
      <c r="DQ219" s="201"/>
      <c r="DR219" s="201"/>
      <c r="DS219" s="201"/>
      <c r="DT219" s="201"/>
      <c r="DU219" s="201"/>
      <c r="DV219" s="201"/>
      <c r="DW219" s="201"/>
      <c r="DX219" s="201"/>
      <c r="DY219" s="201"/>
      <c r="DZ219" s="201"/>
      <c r="EA219" s="201"/>
      <c r="EB219" s="201"/>
      <c r="EC219" s="201"/>
      <c r="ED219" s="201"/>
      <c r="EE219" s="201"/>
      <c r="EF219" s="201"/>
      <c r="EG219" s="201"/>
      <c r="EH219" s="201"/>
      <c r="EI219" s="201"/>
      <c r="EJ219" s="201"/>
      <c r="EK219" s="201"/>
      <c r="EL219" s="201"/>
      <c r="EM219" s="201"/>
      <c r="EN219" s="201"/>
      <c r="EO219" s="201"/>
      <c r="EP219" s="201"/>
      <c r="EQ219" s="201"/>
      <c r="ER219" s="201"/>
      <c r="ES219" s="201"/>
    </row>
    <row r="220" spans="17:149" s="146" customFormat="1">
      <c r="Q220" s="145"/>
      <c r="R220" s="145"/>
      <c r="AR220" s="201"/>
      <c r="AS220" s="201"/>
      <c r="AT220" s="201"/>
      <c r="AU220" s="201"/>
      <c r="AV220" s="201"/>
      <c r="AW220" s="201"/>
      <c r="AX220" s="201"/>
      <c r="AY220" s="201"/>
      <c r="AZ220" s="201"/>
      <c r="BA220" s="201"/>
      <c r="BB220" s="201"/>
      <c r="BC220" s="201"/>
      <c r="BD220" s="201"/>
      <c r="BE220" s="201"/>
      <c r="BF220" s="201"/>
      <c r="BG220" s="201"/>
      <c r="BH220" s="201"/>
      <c r="BI220" s="201"/>
      <c r="BJ220" s="201"/>
      <c r="BK220" s="201"/>
      <c r="BL220" s="201"/>
      <c r="BM220" s="201"/>
      <c r="BN220" s="201"/>
      <c r="BO220" s="201"/>
      <c r="BP220" s="201"/>
      <c r="BQ220" s="201"/>
      <c r="BR220" s="201"/>
      <c r="BS220" s="201"/>
      <c r="BT220" s="201"/>
      <c r="BU220" s="201"/>
      <c r="BV220" s="201"/>
      <c r="BW220" s="201"/>
      <c r="BX220" s="201"/>
      <c r="BY220" s="201"/>
      <c r="BZ220" s="201"/>
      <c r="CA220" s="201"/>
      <c r="CB220" s="201"/>
      <c r="CC220" s="201"/>
      <c r="CD220" s="201"/>
      <c r="CE220" s="201"/>
      <c r="CF220" s="201"/>
      <c r="CG220" s="201"/>
      <c r="CH220" s="201"/>
      <c r="CI220" s="201"/>
      <c r="CJ220" s="201"/>
      <c r="CK220" s="201"/>
      <c r="CL220" s="201"/>
      <c r="CM220" s="201"/>
      <c r="CN220" s="201"/>
      <c r="CO220" s="201"/>
      <c r="CP220" s="201"/>
      <c r="CQ220" s="201"/>
      <c r="CR220" s="201"/>
      <c r="CS220" s="201"/>
      <c r="CT220" s="201"/>
      <c r="CU220" s="201"/>
      <c r="CV220" s="201"/>
      <c r="CW220" s="201"/>
      <c r="CX220" s="201"/>
      <c r="CY220" s="201"/>
      <c r="CZ220" s="201"/>
      <c r="DA220" s="201"/>
      <c r="DB220" s="201"/>
      <c r="DC220" s="201"/>
      <c r="DD220" s="201"/>
      <c r="DE220" s="201"/>
      <c r="DF220" s="201"/>
      <c r="DG220" s="201"/>
      <c r="DH220" s="201"/>
      <c r="DI220" s="201"/>
      <c r="DJ220" s="201"/>
      <c r="DK220" s="201"/>
      <c r="DL220" s="201"/>
      <c r="DM220" s="201"/>
      <c r="DN220" s="201"/>
      <c r="DO220" s="201"/>
      <c r="DP220" s="201"/>
      <c r="DQ220" s="201"/>
      <c r="DR220" s="201"/>
      <c r="DS220" s="201"/>
      <c r="DT220" s="201"/>
      <c r="DU220" s="201"/>
      <c r="DV220" s="201"/>
      <c r="DW220" s="201"/>
      <c r="DX220" s="201"/>
      <c r="DY220" s="201"/>
      <c r="DZ220" s="201"/>
      <c r="EA220" s="201"/>
      <c r="EB220" s="201"/>
      <c r="EC220" s="201"/>
      <c r="ED220" s="201"/>
      <c r="EE220" s="201"/>
      <c r="EF220" s="201"/>
      <c r="EG220" s="201"/>
      <c r="EH220" s="201"/>
      <c r="EI220" s="201"/>
      <c r="EJ220" s="201"/>
      <c r="EK220" s="201"/>
      <c r="EL220" s="201"/>
      <c r="EM220" s="201"/>
      <c r="EN220" s="201"/>
      <c r="EO220" s="201"/>
      <c r="EP220" s="201"/>
      <c r="EQ220" s="201"/>
      <c r="ER220" s="201"/>
      <c r="ES220" s="201"/>
    </row>
    <row r="221" spans="17:149" s="146" customFormat="1">
      <c r="Q221" s="145"/>
      <c r="R221" s="145"/>
      <c r="AR221" s="201"/>
      <c r="AS221" s="201"/>
      <c r="AT221" s="201"/>
      <c r="AU221" s="201"/>
      <c r="AV221" s="201"/>
      <c r="AW221" s="201"/>
      <c r="AX221" s="201"/>
      <c r="AY221" s="201"/>
      <c r="AZ221" s="201"/>
      <c r="BA221" s="201"/>
      <c r="BB221" s="201"/>
      <c r="BC221" s="201"/>
      <c r="BD221" s="201"/>
      <c r="BE221" s="201"/>
      <c r="BF221" s="201"/>
      <c r="BG221" s="201"/>
      <c r="BH221" s="201"/>
      <c r="BI221" s="201"/>
      <c r="BJ221" s="201"/>
      <c r="BK221" s="201"/>
      <c r="BL221" s="201"/>
      <c r="BM221" s="201"/>
      <c r="BN221" s="201"/>
      <c r="BO221" s="201"/>
      <c r="BP221" s="201"/>
      <c r="BQ221" s="201"/>
      <c r="BR221" s="201"/>
      <c r="BS221" s="201"/>
      <c r="BT221" s="201"/>
      <c r="BU221" s="201"/>
      <c r="BV221" s="201"/>
      <c r="BW221" s="201"/>
      <c r="BX221" s="201"/>
      <c r="BY221" s="201"/>
      <c r="BZ221" s="201"/>
      <c r="CA221" s="201"/>
      <c r="CB221" s="201"/>
      <c r="CC221" s="201"/>
      <c r="CD221" s="201"/>
      <c r="CE221" s="201"/>
      <c r="CF221" s="201"/>
      <c r="CG221" s="201"/>
      <c r="CH221" s="201"/>
      <c r="CI221" s="201"/>
      <c r="CJ221" s="201"/>
      <c r="CK221" s="201"/>
      <c r="CL221" s="201"/>
      <c r="CM221" s="201"/>
      <c r="CN221" s="201"/>
      <c r="CO221" s="201"/>
      <c r="CP221" s="201"/>
      <c r="CQ221" s="201"/>
      <c r="CR221" s="201"/>
      <c r="CS221" s="201"/>
      <c r="CT221" s="201"/>
      <c r="CU221" s="201"/>
      <c r="CV221" s="201"/>
      <c r="CW221" s="201"/>
      <c r="CX221" s="201"/>
      <c r="CY221" s="201"/>
      <c r="CZ221" s="201"/>
      <c r="DA221" s="201"/>
      <c r="DB221" s="201"/>
      <c r="DC221" s="201"/>
      <c r="DD221" s="201"/>
      <c r="DE221" s="201"/>
      <c r="DF221" s="201"/>
      <c r="DG221" s="201"/>
      <c r="DH221" s="201"/>
      <c r="DI221" s="201"/>
      <c r="DJ221" s="201"/>
      <c r="DK221" s="201"/>
      <c r="DL221" s="201"/>
      <c r="DM221" s="201"/>
      <c r="DN221" s="201"/>
      <c r="DO221" s="201"/>
      <c r="DP221" s="201"/>
      <c r="DQ221" s="201"/>
      <c r="DR221" s="201"/>
      <c r="DS221" s="201"/>
      <c r="DT221" s="201"/>
      <c r="DU221" s="201"/>
      <c r="DV221" s="201"/>
      <c r="DW221" s="201"/>
      <c r="DX221" s="201"/>
      <c r="DY221" s="201"/>
      <c r="DZ221" s="201"/>
      <c r="EA221" s="201"/>
      <c r="EB221" s="201"/>
      <c r="EC221" s="201"/>
      <c r="ED221" s="201"/>
      <c r="EE221" s="201"/>
      <c r="EF221" s="201"/>
      <c r="EG221" s="201"/>
      <c r="EH221" s="201"/>
      <c r="EI221" s="201"/>
      <c r="EJ221" s="201"/>
      <c r="EK221" s="201"/>
      <c r="EL221" s="201"/>
      <c r="EM221" s="201"/>
      <c r="EN221" s="201"/>
      <c r="EO221" s="201"/>
      <c r="EP221" s="201"/>
      <c r="EQ221" s="201"/>
      <c r="ER221" s="201"/>
      <c r="ES221" s="201"/>
    </row>
    <row r="222" spans="17:149" s="146" customFormat="1">
      <c r="Q222" s="145"/>
      <c r="R222" s="145"/>
      <c r="AR222" s="201"/>
      <c r="AS222" s="201"/>
      <c r="AT222" s="201"/>
      <c r="AU222" s="201"/>
      <c r="AV222" s="201"/>
      <c r="AW222" s="201"/>
      <c r="AX222" s="201"/>
      <c r="AY222" s="201"/>
      <c r="AZ222" s="201"/>
      <c r="BA222" s="201"/>
      <c r="BB222" s="201"/>
      <c r="BC222" s="201"/>
      <c r="BD222" s="201"/>
      <c r="BE222" s="201"/>
      <c r="BF222" s="201"/>
      <c r="BG222" s="201"/>
      <c r="BH222" s="201"/>
      <c r="BI222" s="201"/>
      <c r="BJ222" s="201"/>
      <c r="BK222" s="201"/>
      <c r="BL222" s="201"/>
      <c r="BM222" s="201"/>
      <c r="BN222" s="201"/>
      <c r="BO222" s="201"/>
      <c r="BP222" s="201"/>
      <c r="BQ222" s="201"/>
      <c r="BR222" s="201"/>
      <c r="BS222" s="201"/>
      <c r="BT222" s="201"/>
      <c r="BU222" s="201"/>
      <c r="BV222" s="201"/>
      <c r="BW222" s="201"/>
      <c r="BX222" s="201"/>
      <c r="BY222" s="201"/>
      <c r="BZ222" s="201"/>
      <c r="CA222" s="201"/>
      <c r="CB222" s="201"/>
      <c r="CC222" s="201"/>
      <c r="CD222" s="201"/>
      <c r="CE222" s="201"/>
      <c r="CF222" s="201"/>
      <c r="CG222" s="201"/>
      <c r="CH222" s="201"/>
      <c r="CI222" s="201"/>
      <c r="CJ222" s="201"/>
      <c r="CK222" s="201"/>
      <c r="CL222" s="201"/>
      <c r="CM222" s="201"/>
      <c r="CN222" s="201"/>
      <c r="CO222" s="201"/>
      <c r="CP222" s="201"/>
      <c r="CQ222" s="201"/>
      <c r="CR222" s="201"/>
      <c r="CS222" s="201"/>
      <c r="CT222" s="201"/>
      <c r="CU222" s="201"/>
      <c r="CV222" s="201"/>
      <c r="CW222" s="201"/>
      <c r="CX222" s="201"/>
      <c r="CY222" s="201"/>
      <c r="CZ222" s="201"/>
      <c r="DA222" s="201"/>
      <c r="DB222" s="201"/>
      <c r="DC222" s="201"/>
      <c r="DD222" s="201"/>
      <c r="DE222" s="201"/>
      <c r="DF222" s="201"/>
      <c r="DG222" s="201"/>
      <c r="DH222" s="201"/>
      <c r="DI222" s="201"/>
      <c r="DJ222" s="201"/>
      <c r="DK222" s="201"/>
      <c r="DL222" s="201"/>
      <c r="DM222" s="201"/>
      <c r="DN222" s="201"/>
      <c r="DO222" s="201"/>
      <c r="DP222" s="201"/>
      <c r="DQ222" s="201"/>
      <c r="DR222" s="201"/>
      <c r="DS222" s="201"/>
      <c r="DT222" s="201"/>
      <c r="DU222" s="201"/>
      <c r="DV222" s="201"/>
      <c r="DW222" s="201"/>
      <c r="DX222" s="201"/>
      <c r="DY222" s="201"/>
      <c r="DZ222" s="201"/>
      <c r="EA222" s="201"/>
      <c r="EB222" s="201"/>
      <c r="EC222" s="201"/>
      <c r="ED222" s="201"/>
      <c r="EE222" s="201"/>
      <c r="EF222" s="201"/>
      <c r="EG222" s="201"/>
      <c r="EH222" s="201"/>
      <c r="EI222" s="201"/>
      <c r="EJ222" s="201"/>
      <c r="EK222" s="201"/>
      <c r="EL222" s="201"/>
      <c r="EM222" s="201"/>
      <c r="EN222" s="201"/>
      <c r="EO222" s="201"/>
      <c r="EP222" s="201"/>
      <c r="EQ222" s="201"/>
      <c r="ER222" s="201"/>
      <c r="ES222" s="201"/>
    </row>
    <row r="223" spans="17:149" s="146" customFormat="1">
      <c r="Q223" s="145"/>
      <c r="R223" s="145"/>
      <c r="AR223" s="201"/>
      <c r="AS223" s="201"/>
      <c r="AT223" s="201"/>
      <c r="AU223" s="201"/>
      <c r="AV223" s="201"/>
      <c r="AW223" s="201"/>
      <c r="AX223" s="201"/>
      <c r="AY223" s="201"/>
      <c r="AZ223" s="201"/>
      <c r="BA223" s="201"/>
      <c r="BB223" s="201"/>
      <c r="BC223" s="201"/>
      <c r="BD223" s="201"/>
      <c r="BE223" s="201"/>
      <c r="BF223" s="201"/>
      <c r="BG223" s="201"/>
      <c r="BH223" s="201"/>
      <c r="BI223" s="201"/>
      <c r="BJ223" s="201"/>
      <c r="BK223" s="201"/>
      <c r="BL223" s="201"/>
      <c r="BM223" s="201"/>
      <c r="BN223" s="201"/>
      <c r="BO223" s="201"/>
      <c r="BP223" s="201"/>
      <c r="BQ223" s="201"/>
      <c r="BR223" s="201"/>
      <c r="BS223" s="201"/>
      <c r="BT223" s="201"/>
      <c r="BU223" s="201"/>
      <c r="BV223" s="201"/>
      <c r="BW223" s="201"/>
      <c r="BX223" s="201"/>
      <c r="BY223" s="201"/>
      <c r="BZ223" s="201"/>
      <c r="CA223" s="201"/>
      <c r="CB223" s="201"/>
      <c r="CC223" s="201"/>
      <c r="CD223" s="201"/>
      <c r="CE223" s="201"/>
      <c r="CF223" s="201"/>
      <c r="CG223" s="201"/>
      <c r="CH223" s="201"/>
      <c r="CI223" s="201"/>
      <c r="CJ223" s="201"/>
      <c r="CK223" s="201"/>
      <c r="CL223" s="201"/>
      <c r="CM223" s="201"/>
      <c r="CN223" s="201"/>
      <c r="CO223" s="201"/>
      <c r="CP223" s="201"/>
      <c r="CQ223" s="201"/>
      <c r="CR223" s="201"/>
      <c r="CS223" s="201"/>
      <c r="CT223" s="201"/>
      <c r="CU223" s="201"/>
      <c r="CV223" s="201"/>
      <c r="CW223" s="201"/>
      <c r="CX223" s="201"/>
      <c r="CY223" s="201"/>
      <c r="CZ223" s="201"/>
      <c r="DA223" s="201"/>
      <c r="DB223" s="201"/>
      <c r="DC223" s="201"/>
      <c r="DD223" s="201"/>
      <c r="DE223" s="201"/>
      <c r="DF223" s="201"/>
      <c r="DG223" s="201"/>
      <c r="DH223" s="201"/>
      <c r="DI223" s="201"/>
      <c r="DJ223" s="201"/>
      <c r="DK223" s="201"/>
      <c r="DL223" s="201"/>
      <c r="DM223" s="201"/>
      <c r="DN223" s="201"/>
      <c r="DO223" s="201"/>
      <c r="DP223" s="201"/>
      <c r="DQ223" s="201"/>
      <c r="DR223" s="201"/>
      <c r="DS223" s="201"/>
      <c r="DT223" s="201"/>
      <c r="DU223" s="201"/>
      <c r="DV223" s="201"/>
      <c r="DW223" s="201"/>
      <c r="DX223" s="201"/>
      <c r="DY223" s="201"/>
      <c r="DZ223" s="201"/>
      <c r="EA223" s="201"/>
      <c r="EB223" s="201"/>
      <c r="EC223" s="201"/>
      <c r="ED223" s="201"/>
      <c r="EE223" s="201"/>
      <c r="EF223" s="201"/>
      <c r="EG223" s="201"/>
      <c r="EH223" s="201"/>
      <c r="EI223" s="201"/>
      <c r="EJ223" s="201"/>
      <c r="EK223" s="201"/>
      <c r="EL223" s="201"/>
      <c r="EM223" s="201"/>
      <c r="EN223" s="201"/>
      <c r="EO223" s="201"/>
      <c r="EP223" s="201"/>
      <c r="EQ223" s="201"/>
      <c r="ER223" s="201"/>
      <c r="ES223" s="201"/>
    </row>
    <row r="224" spans="17:149" s="146" customFormat="1">
      <c r="Q224" s="145"/>
      <c r="R224" s="145"/>
      <c r="AR224" s="201"/>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c r="BN224" s="201"/>
      <c r="BO224" s="201"/>
      <c r="BP224" s="201"/>
      <c r="BQ224" s="201"/>
      <c r="BR224" s="201"/>
      <c r="BS224" s="201"/>
      <c r="BT224" s="201"/>
      <c r="BU224" s="201"/>
      <c r="BV224" s="201"/>
      <c r="BW224" s="201"/>
      <c r="BX224" s="201"/>
      <c r="BY224" s="201"/>
      <c r="BZ224" s="201"/>
      <c r="CA224" s="201"/>
      <c r="CB224" s="201"/>
      <c r="CC224" s="201"/>
      <c r="CD224" s="201"/>
      <c r="CE224" s="201"/>
      <c r="CF224" s="201"/>
      <c r="CG224" s="201"/>
      <c r="CH224" s="201"/>
      <c r="CI224" s="201"/>
      <c r="CJ224" s="201"/>
      <c r="CK224" s="201"/>
      <c r="CL224" s="201"/>
      <c r="CM224" s="201"/>
      <c r="CN224" s="201"/>
      <c r="CO224" s="201"/>
      <c r="CP224" s="201"/>
      <c r="CQ224" s="201"/>
      <c r="CR224" s="201"/>
      <c r="CS224" s="201"/>
      <c r="CT224" s="201"/>
      <c r="CU224" s="201"/>
      <c r="CV224" s="201"/>
      <c r="CW224" s="201"/>
      <c r="CX224" s="201"/>
      <c r="CY224" s="201"/>
      <c r="CZ224" s="201"/>
      <c r="DA224" s="201"/>
      <c r="DB224" s="201"/>
      <c r="DC224" s="201"/>
      <c r="DD224" s="201"/>
      <c r="DE224" s="201"/>
      <c r="DF224" s="201"/>
      <c r="DG224" s="201"/>
      <c r="DH224" s="201"/>
      <c r="DI224" s="201"/>
      <c r="DJ224" s="201"/>
      <c r="DK224" s="201"/>
      <c r="DL224" s="201"/>
      <c r="DM224" s="201"/>
      <c r="DN224" s="201"/>
      <c r="DO224" s="201"/>
      <c r="DP224" s="201"/>
      <c r="DQ224" s="201"/>
      <c r="DR224" s="201"/>
      <c r="DS224" s="201"/>
      <c r="DT224" s="201"/>
      <c r="DU224" s="201"/>
      <c r="DV224" s="201"/>
      <c r="DW224" s="201"/>
      <c r="DX224" s="201"/>
      <c r="DY224" s="201"/>
      <c r="DZ224" s="201"/>
      <c r="EA224" s="201"/>
      <c r="EB224" s="201"/>
      <c r="EC224" s="201"/>
      <c r="ED224" s="201"/>
      <c r="EE224" s="201"/>
      <c r="EF224" s="201"/>
      <c r="EG224" s="201"/>
      <c r="EH224" s="201"/>
      <c r="EI224" s="201"/>
      <c r="EJ224" s="201"/>
      <c r="EK224" s="201"/>
      <c r="EL224" s="201"/>
      <c r="EM224" s="201"/>
      <c r="EN224" s="201"/>
      <c r="EO224" s="201"/>
      <c r="EP224" s="201"/>
      <c r="EQ224" s="201"/>
      <c r="ER224" s="201"/>
      <c r="ES224" s="201"/>
    </row>
    <row r="225" spans="17:149" s="146" customFormat="1">
      <c r="Q225" s="145"/>
      <c r="R225" s="145"/>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c r="BP225" s="201"/>
      <c r="BQ225" s="201"/>
      <c r="BR225" s="201"/>
      <c r="BS225" s="201"/>
      <c r="BT225" s="201"/>
      <c r="BU225" s="201"/>
      <c r="BV225" s="201"/>
      <c r="BW225" s="201"/>
      <c r="BX225" s="201"/>
      <c r="BY225" s="201"/>
      <c r="BZ225" s="201"/>
      <c r="CA225" s="201"/>
      <c r="CB225" s="201"/>
      <c r="CC225" s="201"/>
      <c r="CD225" s="201"/>
      <c r="CE225" s="201"/>
      <c r="CF225" s="201"/>
      <c r="CG225" s="201"/>
      <c r="CH225" s="201"/>
      <c r="CI225" s="201"/>
      <c r="CJ225" s="201"/>
      <c r="CK225" s="201"/>
      <c r="CL225" s="201"/>
      <c r="CM225" s="201"/>
      <c r="CN225" s="201"/>
      <c r="CO225" s="201"/>
      <c r="CP225" s="201"/>
      <c r="CQ225" s="201"/>
      <c r="CR225" s="201"/>
      <c r="CS225" s="201"/>
      <c r="CT225" s="201"/>
      <c r="CU225" s="201"/>
      <c r="CV225" s="201"/>
      <c r="CW225" s="201"/>
      <c r="CX225" s="201"/>
      <c r="CY225" s="201"/>
      <c r="CZ225" s="201"/>
      <c r="DA225" s="201"/>
      <c r="DB225" s="201"/>
      <c r="DC225" s="201"/>
      <c r="DD225" s="201"/>
      <c r="DE225" s="201"/>
      <c r="DF225" s="201"/>
      <c r="DG225" s="201"/>
      <c r="DH225" s="201"/>
      <c r="DI225" s="201"/>
      <c r="DJ225" s="201"/>
      <c r="DK225" s="201"/>
      <c r="DL225" s="201"/>
      <c r="DM225" s="201"/>
      <c r="DN225" s="201"/>
      <c r="DO225" s="201"/>
      <c r="DP225" s="201"/>
      <c r="DQ225" s="201"/>
      <c r="DR225" s="201"/>
      <c r="DS225" s="201"/>
      <c r="DT225" s="201"/>
      <c r="DU225" s="201"/>
      <c r="DV225" s="201"/>
      <c r="DW225" s="201"/>
      <c r="DX225" s="201"/>
      <c r="DY225" s="201"/>
      <c r="DZ225" s="201"/>
      <c r="EA225" s="201"/>
      <c r="EB225" s="201"/>
      <c r="EC225" s="201"/>
      <c r="ED225" s="201"/>
      <c r="EE225" s="201"/>
      <c r="EF225" s="201"/>
      <c r="EG225" s="201"/>
      <c r="EH225" s="201"/>
      <c r="EI225" s="201"/>
      <c r="EJ225" s="201"/>
      <c r="EK225" s="201"/>
      <c r="EL225" s="201"/>
      <c r="EM225" s="201"/>
      <c r="EN225" s="201"/>
      <c r="EO225" s="201"/>
      <c r="EP225" s="201"/>
      <c r="EQ225" s="201"/>
      <c r="ER225" s="201"/>
      <c r="ES225" s="201"/>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2" orientation="portrait" r:id="rId1"/>
  <headerFooter>
    <oddHeader>&amp;A</oddHeader>
  </headerFooter>
  <colBreaks count="2" manualBreakCount="2">
    <brk id="14" max="1048575" man="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J403"/>
  <sheetViews>
    <sheetView view="pageBreakPreview" zoomScaleNormal="100" zoomScaleSheetLayoutView="100" workbookViewId="0">
      <pane xSplit="1" topLeftCell="B1" activePane="topRight" state="frozen"/>
      <selection pane="topRight" activeCell="AQ19" sqref="AQ19"/>
    </sheetView>
  </sheetViews>
  <sheetFormatPr defaultColWidth="8.7109375" defaultRowHeight="15" outlineLevelCol="1"/>
  <cols>
    <col min="1" max="2" width="41.140625" style="18" customWidth="1"/>
    <col min="3" max="3" width="3.42578125" style="18" hidden="1" customWidth="1"/>
    <col min="4" max="17" width="12.7109375" style="3" hidden="1" customWidth="1" outlineLevel="1"/>
    <col min="18" max="22" width="13.85546875" style="3" hidden="1" customWidth="1" outlineLevel="1"/>
    <col min="23" max="24" width="12.28515625" style="3" hidden="1" customWidth="1" outlineLevel="1"/>
    <col min="25" max="25" width="12.42578125" style="3" hidden="1" customWidth="1" outlineLevel="1"/>
    <col min="26" max="26" width="12.5703125" style="4" hidden="1" customWidth="1" outlineLevel="1"/>
    <col min="27" max="35" width="12.28515625" style="13" hidden="1" customWidth="1" outlineLevel="1"/>
    <col min="36" max="36" width="12.28515625" style="13" customWidth="1" collapsed="1"/>
    <col min="37" max="43" width="12.28515625" style="13" customWidth="1"/>
    <col min="44" max="88" width="8.7109375" style="182"/>
    <col min="89" max="16384" width="8.7109375" style="12"/>
  </cols>
  <sheetData>
    <row r="1" spans="1:88" ht="19.5" customHeight="1">
      <c r="A1" s="16" t="s">
        <v>236</v>
      </c>
      <c r="B1" s="16" t="s">
        <v>155</v>
      </c>
      <c r="C1" s="16"/>
      <c r="D1" s="4"/>
      <c r="E1" s="4"/>
      <c r="F1" s="4"/>
      <c r="G1" s="4"/>
      <c r="H1" s="4"/>
      <c r="I1" s="4"/>
      <c r="J1" s="4"/>
      <c r="K1" s="4"/>
      <c r="L1" s="641"/>
      <c r="M1" s="641"/>
      <c r="N1" s="641"/>
      <c r="O1" s="641"/>
      <c r="P1" s="642"/>
      <c r="Q1" s="642"/>
      <c r="R1" s="642"/>
      <c r="S1" s="642"/>
      <c r="T1" s="642"/>
      <c r="U1" s="642"/>
      <c r="V1" s="642"/>
      <c r="W1" s="642"/>
      <c r="X1" s="4"/>
      <c r="Y1" s="4"/>
      <c r="AQ1" s="392" t="s">
        <v>800</v>
      </c>
    </row>
    <row r="2" spans="1:88" s="4" customFormat="1">
      <c r="A2" s="450"/>
      <c r="B2" s="450"/>
      <c r="C2" s="450"/>
      <c r="D2" s="643"/>
      <c r="E2" s="643"/>
      <c r="F2" s="643"/>
      <c r="G2" s="643"/>
      <c r="H2" s="643"/>
      <c r="I2" s="643"/>
      <c r="J2" s="643"/>
      <c r="K2" s="643"/>
      <c r="L2" s="391"/>
      <c r="M2" s="391"/>
      <c r="N2" s="391"/>
      <c r="O2" s="391"/>
      <c r="P2" s="453"/>
      <c r="Q2" s="453"/>
      <c r="R2" s="453"/>
      <c r="S2" s="453"/>
      <c r="T2" s="453"/>
      <c r="U2" s="453"/>
      <c r="V2" s="453"/>
      <c r="W2" s="453"/>
      <c r="X2" s="454"/>
      <c r="AA2" s="6"/>
      <c r="AB2" s="6"/>
      <c r="AC2" s="6"/>
      <c r="AD2" s="6"/>
      <c r="AE2" s="6"/>
      <c r="AF2" s="6"/>
      <c r="AG2" s="6"/>
      <c r="AH2" s="6"/>
      <c r="AI2" s="6"/>
      <c r="AJ2" s="6"/>
      <c r="AK2" s="6"/>
      <c r="AL2" s="6"/>
      <c r="AM2" s="6"/>
      <c r="AN2" s="6"/>
      <c r="AO2" s="6"/>
      <c r="AP2" s="6"/>
      <c r="AQ2" s="392" t="s">
        <v>801</v>
      </c>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row>
    <row r="3" spans="1:88" s="4" customFormat="1" ht="15.75" thickBot="1">
      <c r="A3" s="450"/>
      <c r="B3" s="450"/>
      <c r="C3" s="450"/>
      <c r="D3" s="643"/>
      <c r="E3" s="643"/>
      <c r="F3" s="643"/>
      <c r="G3" s="643"/>
      <c r="H3" s="643"/>
      <c r="I3" s="643"/>
      <c r="J3" s="643"/>
      <c r="K3" s="643"/>
      <c r="L3" s="391"/>
      <c r="M3" s="391"/>
      <c r="N3" s="391"/>
      <c r="O3" s="391"/>
      <c r="P3" s="453"/>
      <c r="Q3" s="453"/>
      <c r="R3" s="453"/>
      <c r="S3" s="453"/>
      <c r="T3" s="453"/>
      <c r="U3" s="453"/>
      <c r="V3" s="453"/>
      <c r="W3" s="453"/>
      <c r="X3" s="454"/>
      <c r="AA3" s="6"/>
      <c r="AB3" s="6"/>
      <c r="AC3" s="6"/>
      <c r="AD3" s="6"/>
      <c r="AE3" s="6"/>
      <c r="AF3" s="6"/>
      <c r="AG3" s="6"/>
      <c r="AH3" s="6"/>
      <c r="AI3" s="6"/>
      <c r="AJ3" s="6"/>
      <c r="AK3" s="6"/>
      <c r="AL3" s="6"/>
      <c r="AM3" s="6"/>
      <c r="AN3" s="6"/>
      <c r="AO3" s="6"/>
      <c r="AP3" s="6"/>
      <c r="AQ3" s="392"/>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row>
    <row r="4" spans="1:88" s="74" customFormat="1" ht="15.75" customHeight="1" thickBot="1">
      <c r="A4" s="343" t="s">
        <v>391</v>
      </c>
      <c r="B4" s="305" t="s">
        <v>180</v>
      </c>
      <c r="C4" s="305"/>
      <c r="D4" s="305" t="s">
        <v>24</v>
      </c>
      <c r="E4" s="305" t="s">
        <v>25</v>
      </c>
      <c r="F4" s="305" t="s">
        <v>26</v>
      </c>
      <c r="G4" s="305" t="s">
        <v>27</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305" t="s">
        <v>43</v>
      </c>
      <c r="X4" s="305" t="s">
        <v>110</v>
      </c>
      <c r="Y4" s="305" t="s">
        <v>111</v>
      </c>
      <c r="Z4" s="305" t="s">
        <v>113</v>
      </c>
      <c r="AA4" s="306" t="s">
        <v>120</v>
      </c>
      <c r="AB4" s="306" t="s">
        <v>114</v>
      </c>
      <c r="AC4" s="306" t="s">
        <v>116</v>
      </c>
      <c r="AD4" s="306" t="s">
        <v>117</v>
      </c>
      <c r="AE4" s="306" t="s">
        <v>119</v>
      </c>
      <c r="AF4" s="306" t="s">
        <v>121</v>
      </c>
      <c r="AG4" s="306" t="s">
        <v>123</v>
      </c>
      <c r="AH4" s="306" t="s">
        <v>124</v>
      </c>
      <c r="AI4" s="306" t="s">
        <v>125</v>
      </c>
      <c r="AJ4" s="306" t="s">
        <v>127</v>
      </c>
      <c r="AK4" s="306" t="s">
        <v>128</v>
      </c>
      <c r="AL4" s="306" t="s">
        <v>129</v>
      </c>
      <c r="AM4" s="306" t="s">
        <v>130</v>
      </c>
      <c r="AN4" s="306" t="s">
        <v>131</v>
      </c>
      <c r="AO4" s="306" t="s">
        <v>223</v>
      </c>
      <c r="AP4" s="306" t="s">
        <v>224</v>
      </c>
      <c r="AQ4" s="344" t="s">
        <v>511</v>
      </c>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row>
    <row r="5" spans="1:88" s="5" customFormat="1" ht="13.5">
      <c r="A5" s="444" t="s">
        <v>398</v>
      </c>
      <c r="B5" s="445" t="s">
        <v>397</v>
      </c>
      <c r="C5" s="445"/>
      <c r="D5" s="446">
        <v>-573.08000000000004</v>
      </c>
      <c r="E5" s="446">
        <v>-523.42099999999994</v>
      </c>
      <c r="F5" s="446">
        <v>-579.41</v>
      </c>
      <c r="G5" s="446">
        <v>-631.60300000000041</v>
      </c>
      <c r="H5" s="446">
        <v>-566.97</v>
      </c>
      <c r="I5" s="446">
        <v>-571.46599999999989</v>
      </c>
      <c r="J5" s="446">
        <v>-598.10500000000002</v>
      </c>
      <c r="K5" s="446">
        <v>-638.3599999999999</v>
      </c>
      <c r="L5" s="446">
        <v>-580.23400000000004</v>
      </c>
      <c r="M5" s="446">
        <v>-564.94999999999993</v>
      </c>
      <c r="N5" s="446">
        <v>-613.94399999999996</v>
      </c>
      <c r="O5" s="446">
        <v>-644.61600000000033</v>
      </c>
      <c r="P5" s="446">
        <v>-630.68399999999997</v>
      </c>
      <c r="Q5" s="446">
        <v>-582.654</v>
      </c>
      <c r="R5" s="446">
        <v>-611.61800000000005</v>
      </c>
      <c r="S5" s="446">
        <v>-747.23900000000026</v>
      </c>
      <c r="T5" s="446">
        <v>-610.05799999999999</v>
      </c>
      <c r="U5" s="446">
        <v>-569.61400000000003</v>
      </c>
      <c r="V5" s="446">
        <v>-622.27499999999998</v>
      </c>
      <c r="W5" s="446">
        <v>-712.81599999999992</v>
      </c>
      <c r="X5" s="446">
        <v>-589</v>
      </c>
      <c r="Y5" s="446">
        <v>-679</v>
      </c>
      <c r="Z5" s="446">
        <v>-694</v>
      </c>
      <c r="AA5" s="446">
        <v>-710</v>
      </c>
      <c r="AB5" s="446">
        <v>-687</v>
      </c>
      <c r="AC5" s="446">
        <v>-673</v>
      </c>
      <c r="AD5" s="446">
        <v>-681</v>
      </c>
      <c r="AE5" s="446">
        <v>-726</v>
      </c>
      <c r="AF5" s="446">
        <v>-689</v>
      </c>
      <c r="AG5" s="446">
        <v>-711</v>
      </c>
      <c r="AH5" s="446">
        <v>-709</v>
      </c>
      <c r="AI5" s="446">
        <v>-727</v>
      </c>
      <c r="AJ5" s="446">
        <v>-735</v>
      </c>
      <c r="AK5" s="446">
        <v>-747</v>
      </c>
      <c r="AL5" s="446">
        <v>-745</v>
      </c>
      <c r="AM5" s="446">
        <v>-747</v>
      </c>
      <c r="AN5" s="446">
        <v>-751</v>
      </c>
      <c r="AO5" s="446">
        <v>-769</v>
      </c>
      <c r="AP5" s="446">
        <v>-773</v>
      </c>
      <c r="AQ5" s="449">
        <v>-730</v>
      </c>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s="5" customFormat="1" ht="15" customHeight="1">
      <c r="A6" s="410" t="s">
        <v>393</v>
      </c>
      <c r="B6" s="349" t="s">
        <v>399</v>
      </c>
      <c r="C6" s="349"/>
      <c r="D6" s="411">
        <v>-364.83100000000002</v>
      </c>
      <c r="E6" s="411">
        <v>-327.15199999999993</v>
      </c>
      <c r="F6" s="411">
        <v>-304.14100000000002</v>
      </c>
      <c r="G6" s="411">
        <v>-355.08400000000006</v>
      </c>
      <c r="H6" s="411">
        <v>-298.13</v>
      </c>
      <c r="I6" s="411">
        <v>-299.21799999999996</v>
      </c>
      <c r="J6" s="411">
        <v>-304.43200000000002</v>
      </c>
      <c r="K6" s="411">
        <v>-336.11200000000008</v>
      </c>
      <c r="L6" s="411">
        <v>-299.06900000000002</v>
      </c>
      <c r="M6" s="411">
        <v>-323.73399999999998</v>
      </c>
      <c r="N6" s="411">
        <v>-300.87700000000001</v>
      </c>
      <c r="O6" s="411">
        <v>-352.90600000000012</v>
      </c>
      <c r="P6" s="411">
        <v>-334.28800000000001</v>
      </c>
      <c r="Q6" s="411">
        <v>-320.78899999999999</v>
      </c>
      <c r="R6" s="411">
        <v>-327.73099999999999</v>
      </c>
      <c r="S6" s="411">
        <v>-369.72199999999998</v>
      </c>
      <c r="T6" s="411">
        <v>-315.44900000000001</v>
      </c>
      <c r="U6" s="411">
        <v>-332.61700000000002</v>
      </c>
      <c r="V6" s="411">
        <v>-282.41500000000002</v>
      </c>
      <c r="W6" s="411">
        <v>-359.315</v>
      </c>
      <c r="X6" s="411">
        <v>-301</v>
      </c>
      <c r="Y6" s="411">
        <v>-383</v>
      </c>
      <c r="Z6" s="411">
        <v>-369</v>
      </c>
      <c r="AA6" s="411">
        <v>-433</v>
      </c>
      <c r="AB6" s="411">
        <v>-385</v>
      </c>
      <c r="AC6" s="411">
        <v>-374</v>
      </c>
      <c r="AD6" s="411">
        <v>-323</v>
      </c>
      <c r="AE6" s="411">
        <v>-379</v>
      </c>
      <c r="AF6" s="411">
        <v>-354</v>
      </c>
      <c r="AG6" s="411">
        <v>-355</v>
      </c>
      <c r="AH6" s="411">
        <v>-342</v>
      </c>
      <c r="AI6" s="411">
        <v>-371</v>
      </c>
      <c r="AJ6" s="411">
        <v>-344</v>
      </c>
      <c r="AK6" s="411">
        <v>-337</v>
      </c>
      <c r="AL6" s="411">
        <v>-352</v>
      </c>
      <c r="AM6" s="411">
        <v>-358</v>
      </c>
      <c r="AN6" s="411">
        <v>-357</v>
      </c>
      <c r="AO6" s="411">
        <v>-368</v>
      </c>
      <c r="AP6" s="411">
        <v>-367</v>
      </c>
      <c r="AQ6" s="414">
        <v>-386</v>
      </c>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row>
    <row r="7" spans="1:88" s="10" customFormat="1" ht="15" customHeight="1">
      <c r="A7" s="429" t="s">
        <v>225</v>
      </c>
      <c r="B7" s="349" t="s">
        <v>400</v>
      </c>
      <c r="C7" s="349"/>
      <c r="D7" s="411">
        <v>-115.01600000000001</v>
      </c>
      <c r="E7" s="411">
        <v>-114.05499999999999</v>
      </c>
      <c r="F7" s="411">
        <v>-116.297</v>
      </c>
      <c r="G7" s="411">
        <v>-123.78400000000001</v>
      </c>
      <c r="H7" s="411">
        <v>-118.562</v>
      </c>
      <c r="I7" s="411">
        <v>-119.658</v>
      </c>
      <c r="J7" s="411">
        <v>-122.806</v>
      </c>
      <c r="K7" s="411">
        <v>-151.29299999999995</v>
      </c>
      <c r="L7" s="411">
        <v>-124.071</v>
      </c>
      <c r="M7" s="411">
        <v>-127.31</v>
      </c>
      <c r="N7" s="411">
        <v>-133.69800000000001</v>
      </c>
      <c r="O7" s="411">
        <v>-135.08199999999997</v>
      </c>
      <c r="P7" s="411">
        <v>-134.31800000000001</v>
      </c>
      <c r="Q7" s="411">
        <v>-135.304</v>
      </c>
      <c r="R7" s="411">
        <v>-137.97399999999999</v>
      </c>
      <c r="S7" s="411">
        <v>-133.69299999999996</v>
      </c>
      <c r="T7" s="411">
        <v>-137.87</v>
      </c>
      <c r="U7" s="411">
        <v>-146.11700000000002</v>
      </c>
      <c r="V7" s="411">
        <v>-153.77500000000001</v>
      </c>
      <c r="W7" s="411">
        <v>-141.47799999999998</v>
      </c>
      <c r="X7" s="411">
        <v>-167</v>
      </c>
      <c r="Y7" s="411">
        <v>-192</v>
      </c>
      <c r="Z7" s="411">
        <v>-193</v>
      </c>
      <c r="AA7" s="413">
        <v>-195</v>
      </c>
      <c r="AB7" s="413">
        <v>-206</v>
      </c>
      <c r="AC7" s="413">
        <v>-199</v>
      </c>
      <c r="AD7" s="413">
        <v>-204</v>
      </c>
      <c r="AE7" s="413">
        <v>-209</v>
      </c>
      <c r="AF7" s="413">
        <v>-191</v>
      </c>
      <c r="AG7" s="413">
        <v>-203</v>
      </c>
      <c r="AH7" s="413">
        <v>-198</v>
      </c>
      <c r="AI7" s="413">
        <v>-209</v>
      </c>
      <c r="AJ7" s="413">
        <v>-209</v>
      </c>
      <c r="AK7" s="413">
        <v>-211</v>
      </c>
      <c r="AL7" s="413">
        <v>-211</v>
      </c>
      <c r="AM7" s="411">
        <v>-213</v>
      </c>
      <c r="AN7" s="413">
        <v>-206</v>
      </c>
      <c r="AO7" s="413">
        <v>-201</v>
      </c>
      <c r="AP7" s="413">
        <v>-204</v>
      </c>
      <c r="AQ7" s="644">
        <v>-210</v>
      </c>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row>
    <row r="8" spans="1:88" s="24" customFormat="1" ht="27">
      <c r="A8" s="645" t="s">
        <v>226</v>
      </c>
      <c r="B8" s="646" t="s">
        <v>401</v>
      </c>
      <c r="C8" s="646"/>
      <c r="D8" s="436">
        <v>-12.426</v>
      </c>
      <c r="E8" s="411">
        <v>-12.426</v>
      </c>
      <c r="F8" s="436">
        <v>-12.385999999999999</v>
      </c>
      <c r="G8" s="436">
        <v>-12.384999999999993</v>
      </c>
      <c r="H8" s="436">
        <v>-13.346</v>
      </c>
      <c r="I8" s="436">
        <v>-13.346</v>
      </c>
      <c r="J8" s="436">
        <v>-13.346</v>
      </c>
      <c r="K8" s="436">
        <v>-13.345999999999997</v>
      </c>
      <c r="L8" s="436">
        <v>-34.183999999999997</v>
      </c>
      <c r="M8" s="436">
        <v>-34.183999999999997</v>
      </c>
      <c r="N8" s="436">
        <v>-34.185000000000002</v>
      </c>
      <c r="O8" s="436">
        <v>-34.183999999999997</v>
      </c>
      <c r="P8" s="436">
        <v>-35.997</v>
      </c>
      <c r="Q8" s="436">
        <v>-35.997</v>
      </c>
      <c r="R8" s="436">
        <v>-35.997</v>
      </c>
      <c r="S8" s="436">
        <v>-35.997</v>
      </c>
      <c r="T8" s="436">
        <v>-38.435000000000002</v>
      </c>
      <c r="U8" s="436">
        <v>-38.536000000000001</v>
      </c>
      <c r="V8" s="436">
        <v>-38.435000000000002</v>
      </c>
      <c r="W8" s="436">
        <v>-52.296999999999997</v>
      </c>
      <c r="X8" s="436">
        <v>-52</v>
      </c>
      <c r="Y8" s="436">
        <v>-60</v>
      </c>
      <c r="Z8" s="436">
        <v>-60</v>
      </c>
      <c r="AA8" s="436">
        <v>-60</v>
      </c>
      <c r="AB8" s="436">
        <v>-111</v>
      </c>
      <c r="AC8" s="436">
        <v>-111</v>
      </c>
      <c r="AD8" s="436">
        <v>-111</v>
      </c>
      <c r="AE8" s="436">
        <v>-449</v>
      </c>
      <c r="AF8" s="436">
        <v>-110</v>
      </c>
      <c r="AG8" s="436">
        <v>-109</v>
      </c>
      <c r="AH8" s="436">
        <v>-110</v>
      </c>
      <c r="AI8" s="436">
        <v>-133</v>
      </c>
      <c r="AJ8" s="436">
        <v>-256</v>
      </c>
      <c r="AK8" s="436">
        <v>-49</v>
      </c>
      <c r="AL8" s="436">
        <v>-48</v>
      </c>
      <c r="AM8" s="411">
        <v>-48</v>
      </c>
      <c r="AN8" s="436">
        <v>-233</v>
      </c>
      <c r="AO8" s="436">
        <v>-65</v>
      </c>
      <c r="AP8" s="436">
        <v>-65</v>
      </c>
      <c r="AQ8" s="647">
        <v>-64</v>
      </c>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row>
    <row r="9" spans="1:88" s="49" customFormat="1" ht="13.5">
      <c r="A9" s="648" t="s">
        <v>851</v>
      </c>
      <c r="B9" s="649" t="s">
        <v>853</v>
      </c>
      <c r="C9" s="649"/>
      <c r="D9" s="459"/>
      <c r="E9" s="411">
        <v>0</v>
      </c>
      <c r="F9" s="459"/>
      <c r="G9" s="459">
        <v>0</v>
      </c>
      <c r="H9" s="459"/>
      <c r="I9" s="459">
        <v>0</v>
      </c>
      <c r="J9" s="459"/>
      <c r="K9" s="459">
        <v>0</v>
      </c>
      <c r="L9" s="459"/>
      <c r="M9" s="459">
        <v>0</v>
      </c>
      <c r="N9" s="459"/>
      <c r="O9" s="459">
        <v>0</v>
      </c>
      <c r="P9" s="459"/>
      <c r="Q9" s="459">
        <v>0</v>
      </c>
      <c r="R9" s="459"/>
      <c r="S9" s="459">
        <v>0</v>
      </c>
      <c r="T9" s="459"/>
      <c r="U9" s="459">
        <v>0</v>
      </c>
      <c r="V9" s="459"/>
      <c r="W9" s="459">
        <v>0</v>
      </c>
      <c r="X9" s="459"/>
      <c r="Y9" s="459"/>
      <c r="Z9" s="459"/>
      <c r="AA9" s="459"/>
      <c r="AB9" s="459"/>
      <c r="AC9" s="459"/>
      <c r="AD9" s="459"/>
      <c r="AE9" s="459"/>
      <c r="AF9" s="459"/>
      <c r="AG9" s="459"/>
      <c r="AH9" s="459"/>
      <c r="AI9" s="459"/>
      <c r="AJ9" s="459">
        <v>-209</v>
      </c>
      <c r="AK9" s="459"/>
      <c r="AL9" s="459"/>
      <c r="AM9" s="411">
        <v>0</v>
      </c>
      <c r="AN9" s="459">
        <v>-167</v>
      </c>
      <c r="AO9" s="459"/>
      <c r="AP9" s="459"/>
      <c r="AQ9" s="468">
        <v>5</v>
      </c>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row>
    <row r="10" spans="1:88" s="50" customFormat="1" ht="13.5">
      <c r="A10" s="650" t="s">
        <v>852</v>
      </c>
      <c r="B10" s="651" t="s">
        <v>854</v>
      </c>
      <c r="C10" s="651"/>
      <c r="D10" s="459"/>
      <c r="E10" s="411">
        <v>0</v>
      </c>
      <c r="F10" s="459"/>
      <c r="G10" s="459">
        <v>0</v>
      </c>
      <c r="H10" s="459"/>
      <c r="I10" s="459">
        <v>0</v>
      </c>
      <c r="J10" s="459"/>
      <c r="K10" s="459">
        <v>0</v>
      </c>
      <c r="L10" s="459"/>
      <c r="M10" s="459">
        <v>0</v>
      </c>
      <c r="N10" s="459"/>
      <c r="O10" s="459">
        <v>0</v>
      </c>
      <c r="P10" s="459"/>
      <c r="Q10" s="459">
        <v>0</v>
      </c>
      <c r="R10" s="459"/>
      <c r="S10" s="459">
        <v>0</v>
      </c>
      <c r="T10" s="459"/>
      <c r="U10" s="459">
        <v>0</v>
      </c>
      <c r="V10" s="459"/>
      <c r="W10" s="459">
        <v>0</v>
      </c>
      <c r="X10" s="459"/>
      <c r="Y10" s="459"/>
      <c r="Z10" s="459"/>
      <c r="AA10" s="459"/>
      <c r="AB10" s="459"/>
      <c r="AC10" s="459"/>
      <c r="AD10" s="459"/>
      <c r="AE10" s="459"/>
      <c r="AF10" s="459"/>
      <c r="AG10" s="459"/>
      <c r="AH10" s="459"/>
      <c r="AI10" s="459"/>
      <c r="AJ10" s="459">
        <v>-47</v>
      </c>
      <c r="AK10" s="459">
        <v>-49</v>
      </c>
      <c r="AL10" s="459">
        <v>-48</v>
      </c>
      <c r="AM10" s="411">
        <v>-48</v>
      </c>
      <c r="AN10" s="459">
        <v>-66</v>
      </c>
      <c r="AO10" s="459">
        <v>-65</v>
      </c>
      <c r="AP10" s="459">
        <v>-65</v>
      </c>
      <c r="AQ10" s="468">
        <v>-69</v>
      </c>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row>
    <row r="11" spans="1:88" s="24" customFormat="1" ht="27">
      <c r="A11" s="645" t="s">
        <v>394</v>
      </c>
      <c r="B11" s="652" t="s">
        <v>404</v>
      </c>
      <c r="C11" s="652"/>
      <c r="D11" s="436"/>
      <c r="E11" s="411">
        <v>0</v>
      </c>
      <c r="F11" s="436"/>
      <c r="G11" s="436">
        <v>0</v>
      </c>
      <c r="H11" s="436"/>
      <c r="I11" s="436">
        <v>0</v>
      </c>
      <c r="J11" s="436"/>
      <c r="K11" s="436">
        <v>0</v>
      </c>
      <c r="L11" s="436"/>
      <c r="M11" s="436">
        <v>0</v>
      </c>
      <c r="N11" s="436"/>
      <c r="O11" s="436">
        <v>0</v>
      </c>
      <c r="P11" s="436"/>
      <c r="Q11" s="436">
        <v>0</v>
      </c>
      <c r="R11" s="436"/>
      <c r="S11" s="436">
        <v>0</v>
      </c>
      <c r="T11" s="436"/>
      <c r="U11" s="436">
        <v>0</v>
      </c>
      <c r="V11" s="436"/>
      <c r="W11" s="436">
        <v>0</v>
      </c>
      <c r="X11" s="436"/>
      <c r="Y11" s="436"/>
      <c r="Z11" s="436"/>
      <c r="AA11" s="436"/>
      <c r="AB11" s="436"/>
      <c r="AC11" s="436"/>
      <c r="AD11" s="436"/>
      <c r="AE11" s="436">
        <v>-142</v>
      </c>
      <c r="AF11" s="436"/>
      <c r="AG11" s="436"/>
      <c r="AH11" s="436"/>
      <c r="AI11" s="436"/>
      <c r="AJ11" s="436"/>
      <c r="AK11" s="436"/>
      <c r="AL11" s="436"/>
      <c r="AM11" s="411">
        <v>0</v>
      </c>
      <c r="AN11" s="436"/>
      <c r="AO11" s="436"/>
      <c r="AP11" s="436"/>
      <c r="AQ11" s="647">
        <v>0</v>
      </c>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row>
    <row r="12" spans="1:88" s="24" customFormat="1" ht="15" customHeight="1">
      <c r="A12" s="645" t="s">
        <v>227</v>
      </c>
      <c r="B12" s="646" t="s">
        <v>396</v>
      </c>
      <c r="C12" s="646"/>
      <c r="D12" s="436">
        <v>-16.148</v>
      </c>
      <c r="E12" s="411">
        <v>-16.571000000000002</v>
      </c>
      <c r="F12" s="436">
        <v>-16.690000000000001</v>
      </c>
      <c r="G12" s="436">
        <v>-16.928999999999998</v>
      </c>
      <c r="H12" s="436">
        <v>-17.196000000000002</v>
      </c>
      <c r="I12" s="436">
        <v>-17.120999999999999</v>
      </c>
      <c r="J12" s="436">
        <v>-18.780999999999999</v>
      </c>
      <c r="K12" s="436">
        <v>-17.541999999999998</v>
      </c>
      <c r="L12" s="436">
        <v>-16.559000000000001</v>
      </c>
      <c r="M12" s="436">
        <v>-18.876000000000001</v>
      </c>
      <c r="N12" s="436">
        <v>-19.838000000000001</v>
      </c>
      <c r="O12" s="436">
        <v>-18.856000000000005</v>
      </c>
      <c r="P12" s="436">
        <v>-17.042999999999999</v>
      </c>
      <c r="Q12" s="436">
        <v>-19.267000000000003</v>
      </c>
      <c r="R12" s="436">
        <v>-18.113</v>
      </c>
      <c r="S12" s="436">
        <v>-18.111999999999995</v>
      </c>
      <c r="T12" s="436">
        <v>-17.914999999999999</v>
      </c>
      <c r="U12" s="436">
        <v>-18.983000000000004</v>
      </c>
      <c r="V12" s="436">
        <v>-18.702999999999999</v>
      </c>
      <c r="W12" s="436">
        <v>-15.439999999999994</v>
      </c>
      <c r="X12" s="436">
        <v>-17</v>
      </c>
      <c r="Y12" s="436">
        <v>-28</v>
      </c>
      <c r="Z12" s="436">
        <v>-21</v>
      </c>
      <c r="AA12" s="436">
        <v>-40</v>
      </c>
      <c r="AB12" s="436">
        <v>-15</v>
      </c>
      <c r="AC12" s="436">
        <v>-15</v>
      </c>
      <c r="AD12" s="436">
        <v>-16</v>
      </c>
      <c r="AE12" s="436">
        <v>-18</v>
      </c>
      <c r="AF12" s="436">
        <v>-16</v>
      </c>
      <c r="AG12" s="436">
        <v>-19</v>
      </c>
      <c r="AH12" s="436">
        <v>-18</v>
      </c>
      <c r="AI12" s="436">
        <v>-16</v>
      </c>
      <c r="AJ12" s="436">
        <v>-19</v>
      </c>
      <c r="AK12" s="436">
        <v>-31</v>
      </c>
      <c r="AL12" s="436">
        <v>-16</v>
      </c>
      <c r="AM12" s="411">
        <v>-108</v>
      </c>
      <c r="AN12" s="436">
        <v>-32</v>
      </c>
      <c r="AO12" s="436">
        <v>-35</v>
      </c>
      <c r="AP12" s="436">
        <v>-32</v>
      </c>
      <c r="AQ12" s="647">
        <v>-57</v>
      </c>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row>
    <row r="13" spans="1:88" s="17" customFormat="1">
      <c r="A13" s="653" t="s">
        <v>228</v>
      </c>
      <c r="B13" s="654" t="s">
        <v>353</v>
      </c>
      <c r="C13" s="654"/>
      <c r="D13" s="549">
        <v>-1082</v>
      </c>
      <c r="E13" s="549">
        <v>-994</v>
      </c>
      <c r="F13" s="549">
        <v>-1029</v>
      </c>
      <c r="G13" s="549">
        <v>-1140</v>
      </c>
      <c r="H13" s="549">
        <v>-1014</v>
      </c>
      <c r="I13" s="549">
        <v>-1021.0129999999999</v>
      </c>
      <c r="J13" s="549">
        <v>-1057</v>
      </c>
      <c r="K13" s="549">
        <v>-1157.1230000000005</v>
      </c>
      <c r="L13" s="549">
        <v>-1054</v>
      </c>
      <c r="M13" s="549">
        <v>-1069</v>
      </c>
      <c r="N13" s="549">
        <v>-1103</v>
      </c>
      <c r="O13" s="549">
        <v>-1185</v>
      </c>
      <c r="P13" s="549">
        <v>-1152</v>
      </c>
      <c r="Q13" s="549">
        <v>-1094</v>
      </c>
      <c r="R13" s="549">
        <v>-1131</v>
      </c>
      <c r="S13" s="549">
        <v>-1305</v>
      </c>
      <c r="T13" s="549">
        <v>-1120</v>
      </c>
      <c r="U13" s="549">
        <v>-1106</v>
      </c>
      <c r="V13" s="549">
        <v>-1116</v>
      </c>
      <c r="W13" s="549">
        <v>-1281</v>
      </c>
      <c r="X13" s="549">
        <v>-1126</v>
      </c>
      <c r="Y13" s="549">
        <v>-1343</v>
      </c>
      <c r="Z13" s="549">
        <v>-1337</v>
      </c>
      <c r="AA13" s="549">
        <v>-1439</v>
      </c>
      <c r="AB13" s="549">
        <v>-1405</v>
      </c>
      <c r="AC13" s="549">
        <v>-1372</v>
      </c>
      <c r="AD13" s="549">
        <v>-1335</v>
      </c>
      <c r="AE13" s="549">
        <v>-1923</v>
      </c>
      <c r="AF13" s="549">
        <v>-1360</v>
      </c>
      <c r="AG13" s="549">
        <v>-1397</v>
      </c>
      <c r="AH13" s="549">
        <v>-1377</v>
      </c>
      <c r="AI13" s="549">
        <v>-1456</v>
      </c>
      <c r="AJ13" s="549">
        <v>-1563</v>
      </c>
      <c r="AK13" s="549">
        <v>-1375</v>
      </c>
      <c r="AL13" s="549">
        <v>-1372</v>
      </c>
      <c r="AM13" s="549">
        <v>-1474</v>
      </c>
      <c r="AN13" s="549">
        <v>-1579</v>
      </c>
      <c r="AO13" s="549">
        <v>-1438</v>
      </c>
      <c r="AP13" s="549">
        <v>-1441</v>
      </c>
      <c r="AQ13" s="655">
        <v>-1447</v>
      </c>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row>
    <row r="14" spans="1:88" s="58" customFormat="1" ht="13.5" hidden="1">
      <c r="A14" s="123" t="s">
        <v>254</v>
      </c>
      <c r="B14" s="57"/>
      <c r="C14" s="57"/>
      <c r="D14" s="57">
        <f>SUM(D5:D12)-D9-D10</f>
        <v>-1081.501</v>
      </c>
      <c r="E14" s="57">
        <v>-993.62499999999989</v>
      </c>
      <c r="F14" s="57">
        <f>SUM(F5:F12)-F9-F10</f>
        <v>-1028.924</v>
      </c>
      <c r="G14" s="57">
        <f>SUM(G5:G12)-G9-G10</f>
        <v>-1139.7850000000005</v>
      </c>
      <c r="H14" s="57">
        <f>SUM(H5:H12)-H9-H10</f>
        <v>-1014.2040000000001</v>
      </c>
      <c r="I14" s="57">
        <v>-1020.8089999999999</v>
      </c>
      <c r="J14" s="57">
        <f>SUM(J5:J12)-J9-J10</f>
        <v>-1057.47</v>
      </c>
      <c r="K14" s="57">
        <v>-1156.6529999999993</v>
      </c>
      <c r="L14" s="57">
        <f>SUM(L5:L12)-L9-L10</f>
        <v>-1054.1170000000002</v>
      </c>
      <c r="M14" s="57">
        <v>-1069.0539999999999</v>
      </c>
      <c r="N14" s="57">
        <f>SUM(N5:N12)-N9-N10</f>
        <v>-1102.5419999999999</v>
      </c>
      <c r="O14" s="57">
        <v>-1185.6440000000002</v>
      </c>
      <c r="P14" s="57">
        <f>SUM(P5:P12)-P9-P10</f>
        <v>-1152.33</v>
      </c>
      <c r="Q14" s="57">
        <f>SUM(Q5:Q12)-Q9-Q10</f>
        <v>-1094.0110000000002</v>
      </c>
      <c r="R14" s="57">
        <f>SUM(R5:R12)-R9-R10</f>
        <v>-1131.4330000000002</v>
      </c>
      <c r="S14" s="57">
        <v>-1304.7630000000004</v>
      </c>
      <c r="T14" s="57">
        <f t="shared" ref="T14:AL14" si="0">SUM(T5:T12)-T9-T10</f>
        <v>-1119.7269999999999</v>
      </c>
      <c r="U14" s="57">
        <f t="shared" si="0"/>
        <v>-1105.867</v>
      </c>
      <c r="V14" s="57">
        <f t="shared" si="0"/>
        <v>-1115.6030000000001</v>
      </c>
      <c r="W14" s="57">
        <f t="shared" si="0"/>
        <v>-1281.346</v>
      </c>
      <c r="X14" s="57">
        <f t="shared" si="0"/>
        <v>-1126</v>
      </c>
      <c r="Y14" s="57">
        <f t="shared" si="0"/>
        <v>-1342</v>
      </c>
      <c r="Z14" s="57">
        <f t="shared" si="0"/>
        <v>-1337</v>
      </c>
      <c r="AA14" s="57">
        <f t="shared" si="0"/>
        <v>-1438</v>
      </c>
      <c r="AB14" s="57">
        <f t="shared" si="0"/>
        <v>-1404</v>
      </c>
      <c r="AC14" s="57">
        <f t="shared" si="0"/>
        <v>-1372</v>
      </c>
      <c r="AD14" s="57">
        <f t="shared" si="0"/>
        <v>-1335</v>
      </c>
      <c r="AE14" s="57">
        <f t="shared" si="0"/>
        <v>-1923</v>
      </c>
      <c r="AF14" s="57">
        <f t="shared" si="0"/>
        <v>-1360</v>
      </c>
      <c r="AG14" s="57">
        <f t="shared" si="0"/>
        <v>-1397</v>
      </c>
      <c r="AH14" s="57">
        <f t="shared" si="0"/>
        <v>-1377</v>
      </c>
      <c r="AI14" s="57">
        <f t="shared" si="0"/>
        <v>-1456</v>
      </c>
      <c r="AJ14" s="57">
        <f t="shared" si="0"/>
        <v>-1563</v>
      </c>
      <c r="AK14" s="57">
        <f t="shared" si="0"/>
        <v>-1375</v>
      </c>
      <c r="AL14" s="57">
        <f t="shared" si="0"/>
        <v>-1372</v>
      </c>
      <c r="AM14" s="57">
        <v>-1474</v>
      </c>
      <c r="AN14" s="57">
        <f>SUM(AN5:AN12)-AN9-AN10</f>
        <v>-1579</v>
      </c>
      <c r="AO14" s="57">
        <f>SUM(AO5:AO12)-AO9-AO10</f>
        <v>-1438</v>
      </c>
      <c r="AP14" s="57">
        <f>SUM(AP5:AP12)-AP9-AP10</f>
        <v>-1441</v>
      </c>
      <c r="AQ14" s="57"/>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row>
    <row r="15" spans="1:88">
      <c r="A15" s="4"/>
      <c r="B15" s="4"/>
      <c r="C15" s="4"/>
    </row>
    <row r="16" spans="1:88" ht="16.5" customHeight="1" thickBot="1">
      <c r="A16" s="16" t="s">
        <v>398</v>
      </c>
      <c r="B16" s="16" t="s">
        <v>397</v>
      </c>
      <c r="C16" s="16"/>
    </row>
    <row r="17" spans="1:88" s="48" customFormat="1" ht="15.75" customHeight="1" thickBot="1">
      <c r="A17" s="343" t="s">
        <v>391</v>
      </c>
      <c r="B17" s="305" t="s">
        <v>180</v>
      </c>
      <c r="C17" s="305"/>
      <c r="D17" s="305" t="str">
        <f t="shared" ref="D17:AL17" si="1">D4</f>
        <v>Q1'09</v>
      </c>
      <c r="E17" s="305" t="str">
        <f t="shared" si="1"/>
        <v>Q2'09</v>
      </c>
      <c r="F17" s="305" t="str">
        <f t="shared" si="1"/>
        <v>Q3'09</v>
      </c>
      <c r="G17" s="305" t="str">
        <f t="shared" si="1"/>
        <v>Q4'09</v>
      </c>
      <c r="H17" s="305" t="str">
        <f t="shared" si="1"/>
        <v>Q1'10</v>
      </c>
      <c r="I17" s="305" t="str">
        <f t="shared" si="1"/>
        <v>Q2'10</v>
      </c>
      <c r="J17" s="305" t="str">
        <f t="shared" si="1"/>
        <v>Q3'10</v>
      </c>
      <c r="K17" s="305" t="str">
        <f t="shared" si="1"/>
        <v>Q4'10</v>
      </c>
      <c r="L17" s="305" t="str">
        <f t="shared" si="1"/>
        <v>Q1'11</v>
      </c>
      <c r="M17" s="305" t="str">
        <f t="shared" si="1"/>
        <v>Q2'11</v>
      </c>
      <c r="N17" s="305" t="str">
        <f t="shared" si="1"/>
        <v>Q3'11</v>
      </c>
      <c r="O17" s="305" t="str">
        <f t="shared" si="1"/>
        <v>Q4'11</v>
      </c>
      <c r="P17" s="305" t="str">
        <f t="shared" si="1"/>
        <v>Q1'12</v>
      </c>
      <c r="Q17" s="305" t="str">
        <f t="shared" si="1"/>
        <v>Q2'12</v>
      </c>
      <c r="R17" s="305" t="str">
        <f t="shared" si="1"/>
        <v>Q3'12</v>
      </c>
      <c r="S17" s="305" t="str">
        <f t="shared" si="1"/>
        <v>Q4'12</v>
      </c>
      <c r="T17" s="305" t="str">
        <f t="shared" si="1"/>
        <v>Q1'13</v>
      </c>
      <c r="U17" s="305" t="str">
        <f t="shared" si="1"/>
        <v>Q2'13</v>
      </c>
      <c r="V17" s="305" t="str">
        <f t="shared" si="1"/>
        <v>Q3'13</v>
      </c>
      <c r="W17" s="305" t="str">
        <f t="shared" si="1"/>
        <v>Q4'13</v>
      </c>
      <c r="X17" s="305" t="str">
        <f t="shared" si="1"/>
        <v>Q1'14</v>
      </c>
      <c r="Y17" s="305" t="str">
        <f t="shared" si="1"/>
        <v>Q2'14</v>
      </c>
      <c r="Z17" s="305" t="str">
        <f t="shared" si="1"/>
        <v>Q3'14</v>
      </c>
      <c r="AA17" s="305" t="str">
        <f t="shared" si="1"/>
        <v>Q4'14</v>
      </c>
      <c r="AB17" s="305" t="str">
        <f t="shared" si="1"/>
        <v>Q1'15</v>
      </c>
      <c r="AC17" s="305" t="str">
        <f t="shared" si="1"/>
        <v>Q2'15</v>
      </c>
      <c r="AD17" s="305" t="str">
        <f t="shared" si="1"/>
        <v>Q3'15</v>
      </c>
      <c r="AE17" s="305" t="str">
        <f t="shared" si="1"/>
        <v>Q4'15</v>
      </c>
      <c r="AF17" s="305" t="str">
        <f t="shared" si="1"/>
        <v>Q1'16</v>
      </c>
      <c r="AG17" s="305" t="str">
        <f t="shared" si="1"/>
        <v>Q2'16</v>
      </c>
      <c r="AH17" s="305" t="str">
        <f t="shared" si="1"/>
        <v>Q3'16</v>
      </c>
      <c r="AI17" s="305" t="str">
        <f t="shared" si="1"/>
        <v>Q4'16</v>
      </c>
      <c r="AJ17" s="305" t="str">
        <f t="shared" si="1"/>
        <v>Q1'17</v>
      </c>
      <c r="AK17" s="305" t="str">
        <f t="shared" si="1"/>
        <v>Q2'17</v>
      </c>
      <c r="AL17" s="305" t="str">
        <f t="shared" si="1"/>
        <v>Q3'17</v>
      </c>
      <c r="AM17" s="305" t="s">
        <v>130</v>
      </c>
      <c r="AN17" s="305" t="str">
        <f>AN4</f>
        <v>Q1'18</v>
      </c>
      <c r="AO17" s="305" t="str">
        <f>AO4</f>
        <v>Q2'18</v>
      </c>
      <c r="AP17" s="305" t="str">
        <f>AP4</f>
        <v>Q3'18</v>
      </c>
      <c r="AQ17" s="659" t="s">
        <v>511</v>
      </c>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row>
    <row r="18" spans="1:88" ht="15.75" customHeight="1">
      <c r="A18" s="444" t="s">
        <v>859</v>
      </c>
      <c r="B18" s="658" t="s">
        <v>730</v>
      </c>
      <c r="C18" s="658"/>
      <c r="D18" s="446">
        <v>-474.88499999999999</v>
      </c>
      <c r="E18" s="446">
        <v>-431.40600000000006</v>
      </c>
      <c r="F18" s="446">
        <v>-487.47500000000002</v>
      </c>
      <c r="G18" s="446">
        <v>-549.50299999999993</v>
      </c>
      <c r="H18" s="446">
        <v>-470.90800000000002</v>
      </c>
      <c r="I18" s="446">
        <v>-478.53899999999999</v>
      </c>
      <c r="J18" s="446">
        <v>-505.54500000000002</v>
      </c>
      <c r="K18" s="446">
        <v>-556.73199999999986</v>
      </c>
      <c r="L18" s="446">
        <v>-483.59899999999999</v>
      </c>
      <c r="M18" s="446">
        <v>-473.209</v>
      </c>
      <c r="N18" s="446">
        <v>-519.25</v>
      </c>
      <c r="O18" s="446">
        <v>-556.2829999999999</v>
      </c>
      <c r="P18" s="446">
        <v>-520.60699999999997</v>
      </c>
      <c r="Q18" s="446">
        <v>-478.24400000000003</v>
      </c>
      <c r="R18" s="446">
        <v>-509.5</v>
      </c>
      <c r="S18" s="446">
        <v>-648.37699999999995</v>
      </c>
      <c r="T18" s="446">
        <v>-498.22</v>
      </c>
      <c r="U18" s="446">
        <v>-455.58799999999997</v>
      </c>
      <c r="V18" s="446">
        <v>-510.85</v>
      </c>
      <c r="W18" s="446">
        <v>-606.57300000000032</v>
      </c>
      <c r="X18" s="446">
        <v>-483</v>
      </c>
      <c r="Y18" s="446">
        <v>-569</v>
      </c>
      <c r="Z18" s="446">
        <v>-589</v>
      </c>
      <c r="AA18" s="446">
        <v>-608.31899999999996</v>
      </c>
      <c r="AB18" s="446">
        <v>-566</v>
      </c>
      <c r="AC18" s="446">
        <v>-557</v>
      </c>
      <c r="AD18" s="446">
        <v>-571</v>
      </c>
      <c r="AE18" s="446">
        <v>-616.69999999999982</v>
      </c>
      <c r="AF18" s="446">
        <v>-567</v>
      </c>
      <c r="AG18" s="446">
        <v>-587</v>
      </c>
      <c r="AH18" s="446">
        <v>-599</v>
      </c>
      <c r="AI18" s="446">
        <v>-620</v>
      </c>
      <c r="AJ18" s="446">
        <v>-607</v>
      </c>
      <c r="AK18" s="446">
        <v>-623</v>
      </c>
      <c r="AL18" s="446">
        <v>-628</v>
      </c>
      <c r="AM18" s="446">
        <v>-639</v>
      </c>
      <c r="AN18" s="446">
        <v>-625</v>
      </c>
      <c r="AO18" s="446">
        <v>-638</v>
      </c>
      <c r="AP18" s="446">
        <v>-651</v>
      </c>
      <c r="AQ18" s="449">
        <v>-623</v>
      </c>
      <c r="AR18" s="181"/>
      <c r="AS18" s="181"/>
      <c r="AU18" s="181"/>
    </row>
    <row r="19" spans="1:88" ht="15.75" customHeight="1">
      <c r="A19" s="410" t="s">
        <v>229</v>
      </c>
      <c r="B19" s="370" t="s">
        <v>402</v>
      </c>
      <c r="C19" s="370"/>
      <c r="D19" s="411">
        <v>-81.605000000000004</v>
      </c>
      <c r="E19" s="411">
        <v>-75.304999999999993</v>
      </c>
      <c r="F19" s="411">
        <v>-77.179000000000002</v>
      </c>
      <c r="G19" s="411">
        <v>-67.173999999999992</v>
      </c>
      <c r="H19" s="411">
        <v>-79.394000000000005</v>
      </c>
      <c r="I19" s="411">
        <v>-77.996999999999986</v>
      </c>
      <c r="J19" s="411">
        <v>-77.793999999999997</v>
      </c>
      <c r="K19" s="411">
        <v>-64.80000000000004</v>
      </c>
      <c r="L19" s="411">
        <v>-81.468000000000004</v>
      </c>
      <c r="M19" s="411">
        <v>-74.303999999999988</v>
      </c>
      <c r="N19" s="411">
        <v>-78.843999999999994</v>
      </c>
      <c r="O19" s="411">
        <v>-69.895000000000053</v>
      </c>
      <c r="P19" s="411">
        <v>-93.527000000000001</v>
      </c>
      <c r="Q19" s="411">
        <v>-85.183000000000007</v>
      </c>
      <c r="R19" s="411">
        <v>-85.326999999999998</v>
      </c>
      <c r="S19" s="411">
        <v>-79.129000000000005</v>
      </c>
      <c r="T19" s="411">
        <v>-93.527000000000001</v>
      </c>
      <c r="U19" s="411">
        <v>-96.874999999999986</v>
      </c>
      <c r="V19" s="411">
        <v>-95.832999999999998</v>
      </c>
      <c r="W19" s="411">
        <v>-88.775999999999996</v>
      </c>
      <c r="X19" s="411">
        <v>-90</v>
      </c>
      <c r="Y19" s="411">
        <v>-90</v>
      </c>
      <c r="Z19" s="411">
        <v>-90</v>
      </c>
      <c r="AA19" s="411">
        <v>-82.581000000000017</v>
      </c>
      <c r="AB19" s="411">
        <v>-104</v>
      </c>
      <c r="AC19" s="411">
        <v>-94</v>
      </c>
      <c r="AD19" s="411">
        <v>-90</v>
      </c>
      <c r="AE19" s="411">
        <v>-87.399999999999977</v>
      </c>
      <c r="AF19" s="411">
        <v>-103</v>
      </c>
      <c r="AG19" s="411">
        <v>-100</v>
      </c>
      <c r="AH19" s="411">
        <v>-92</v>
      </c>
      <c r="AI19" s="411">
        <v>-84</v>
      </c>
      <c r="AJ19" s="411">
        <v>-110</v>
      </c>
      <c r="AK19" s="411">
        <v>-104</v>
      </c>
      <c r="AL19" s="411">
        <v>-100</v>
      </c>
      <c r="AM19" s="411">
        <v>-85</v>
      </c>
      <c r="AN19" s="411">
        <v>-106</v>
      </c>
      <c r="AO19" s="411">
        <v>-111</v>
      </c>
      <c r="AP19" s="411">
        <v>-102</v>
      </c>
      <c r="AQ19" s="414">
        <v>-85</v>
      </c>
      <c r="AR19" s="181"/>
      <c r="AS19" s="181"/>
      <c r="AU19" s="181"/>
    </row>
    <row r="20" spans="1:88" s="29" customFormat="1" ht="15.75" customHeight="1">
      <c r="A20" s="457" t="s">
        <v>855</v>
      </c>
      <c r="B20" s="656" t="s">
        <v>856</v>
      </c>
      <c r="C20" s="656"/>
      <c r="D20" s="461"/>
      <c r="E20" s="461">
        <v>-120.39</v>
      </c>
      <c r="F20" s="461">
        <v>-58.860999999999997</v>
      </c>
      <c r="G20" s="461">
        <v>-62.533000000000001</v>
      </c>
      <c r="H20" s="461">
        <v>-63.218000000000004</v>
      </c>
      <c r="I20" s="461">
        <v>-57.991</v>
      </c>
      <c r="J20" s="461">
        <v>-57.534999999999997</v>
      </c>
      <c r="K20" s="461">
        <v>-61.074999999999989</v>
      </c>
      <c r="L20" s="461">
        <v>-60.292999999999999</v>
      </c>
      <c r="M20" s="461">
        <v>-57.067</v>
      </c>
      <c r="N20" s="461">
        <v>-57.832000000000001</v>
      </c>
      <c r="O20" s="461">
        <v>-71.830999999999989</v>
      </c>
      <c r="P20" s="461">
        <v>-75.933000000000007</v>
      </c>
      <c r="Q20" s="461">
        <v>-73.45</v>
      </c>
      <c r="R20" s="461">
        <v>68.710999999999999</v>
      </c>
      <c r="S20" s="461">
        <v>-198.91000000000003</v>
      </c>
      <c r="T20" s="461">
        <v>-83.686000000000007</v>
      </c>
      <c r="U20" s="461">
        <v>-77.945999999999998</v>
      </c>
      <c r="V20" s="461">
        <v>-77.912999999999997</v>
      </c>
      <c r="W20" s="461">
        <v>-61.141999999999996</v>
      </c>
      <c r="X20" s="461">
        <v>-82</v>
      </c>
      <c r="Y20" s="461">
        <v>-76</v>
      </c>
      <c r="Z20" s="461">
        <v>-82</v>
      </c>
      <c r="AA20" s="411">
        <v>-63.954999999999984</v>
      </c>
      <c r="AB20" s="461">
        <v>-89</v>
      </c>
      <c r="AC20" s="461">
        <v>-81</v>
      </c>
      <c r="AD20" s="461">
        <v>-75</v>
      </c>
      <c r="AE20" s="411">
        <v>-63.800000000000011</v>
      </c>
      <c r="AF20" s="461">
        <v>-90</v>
      </c>
      <c r="AG20" s="461">
        <v>-82</v>
      </c>
      <c r="AH20" s="461">
        <v>-76</v>
      </c>
      <c r="AI20" s="411">
        <v>-62</v>
      </c>
      <c r="AJ20" s="461">
        <v>-96</v>
      </c>
      <c r="AK20" s="461">
        <v>-86</v>
      </c>
      <c r="AL20" s="461">
        <v>-80</v>
      </c>
      <c r="AM20" s="411">
        <v>-8</v>
      </c>
      <c r="AN20" s="461">
        <v>-95</v>
      </c>
      <c r="AO20" s="461">
        <v>-90</v>
      </c>
      <c r="AP20" s="461">
        <v>-82</v>
      </c>
      <c r="AQ20" s="462">
        <v>-76</v>
      </c>
      <c r="AR20" s="181"/>
      <c r="AS20" s="181"/>
      <c r="AT20" s="182"/>
      <c r="AU20" s="181"/>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row>
    <row r="21" spans="1:88" ht="15.75" customHeight="1">
      <c r="A21" s="410" t="s">
        <v>230</v>
      </c>
      <c r="B21" s="370" t="s">
        <v>403</v>
      </c>
      <c r="C21" s="370"/>
      <c r="D21" s="465">
        <v>-16.59</v>
      </c>
      <c r="E21" s="465">
        <v>-16.709999999999997</v>
      </c>
      <c r="F21" s="465">
        <v>-14.756</v>
      </c>
      <c r="G21" s="465">
        <v>-14.926000000000002</v>
      </c>
      <c r="H21" s="465">
        <v>-16.667999999999999</v>
      </c>
      <c r="I21" s="465">
        <v>-14.93</v>
      </c>
      <c r="J21" s="465">
        <v>-14.766</v>
      </c>
      <c r="K21" s="465">
        <v>-16.828000000000003</v>
      </c>
      <c r="L21" s="465">
        <v>-15.167</v>
      </c>
      <c r="M21" s="465">
        <v>-17.436999999999998</v>
      </c>
      <c r="N21" s="465">
        <v>-15.85</v>
      </c>
      <c r="O21" s="465">
        <v>-18.437999999999995</v>
      </c>
      <c r="P21" s="465">
        <v>-17.248000000000001</v>
      </c>
      <c r="Q21" s="465">
        <v>-18.529</v>
      </c>
      <c r="R21" s="465">
        <v>-16.791</v>
      </c>
      <c r="S21" s="465">
        <v>-19.733000000000008</v>
      </c>
      <c r="T21" s="465">
        <v>-18.311</v>
      </c>
      <c r="U21" s="465">
        <v>-17.151000000000003</v>
      </c>
      <c r="V21" s="465">
        <v>-15.592000000000001</v>
      </c>
      <c r="W21" s="465">
        <v>-17.466999999999999</v>
      </c>
      <c r="X21" s="465">
        <v>-16</v>
      </c>
      <c r="Y21" s="465">
        <v>-20</v>
      </c>
      <c r="Z21" s="465">
        <v>-16</v>
      </c>
      <c r="AA21" s="411">
        <v>-18.534999999999997</v>
      </c>
      <c r="AB21" s="465">
        <v>-18</v>
      </c>
      <c r="AC21" s="465">
        <v>-22</v>
      </c>
      <c r="AD21" s="465">
        <v>-19</v>
      </c>
      <c r="AE21" s="411">
        <v>-21.400000000000006</v>
      </c>
      <c r="AF21" s="465">
        <v>-19</v>
      </c>
      <c r="AG21" s="465">
        <v>-24</v>
      </c>
      <c r="AH21" s="465">
        <v>-18</v>
      </c>
      <c r="AI21" s="411">
        <v>-23</v>
      </c>
      <c r="AJ21" s="465">
        <v>-18</v>
      </c>
      <c r="AK21" s="465">
        <v>-20</v>
      </c>
      <c r="AL21" s="465">
        <v>-17</v>
      </c>
      <c r="AM21" s="411">
        <v>-23</v>
      </c>
      <c r="AN21" s="465">
        <v>-20</v>
      </c>
      <c r="AO21" s="465">
        <v>-20</v>
      </c>
      <c r="AP21" s="465">
        <v>-20</v>
      </c>
      <c r="AQ21" s="466">
        <v>-22</v>
      </c>
      <c r="AR21" s="181"/>
      <c r="AS21" s="181"/>
      <c r="AU21" s="181"/>
    </row>
    <row r="22" spans="1:88" s="65" customFormat="1" ht="15.75" customHeight="1">
      <c r="A22" s="469" t="s">
        <v>228</v>
      </c>
      <c r="B22" s="657" t="s">
        <v>353</v>
      </c>
      <c r="C22" s="657"/>
      <c r="D22" s="471">
        <v>-573.08000000000004</v>
      </c>
      <c r="E22" s="471">
        <v>-523.42099999999994</v>
      </c>
      <c r="F22" s="471">
        <v>-579.41</v>
      </c>
      <c r="G22" s="471">
        <v>-631.60300000000041</v>
      </c>
      <c r="H22" s="471">
        <v>-566.97</v>
      </c>
      <c r="I22" s="471">
        <v>-571.46599999999989</v>
      </c>
      <c r="J22" s="471">
        <v>-598.10500000000002</v>
      </c>
      <c r="K22" s="471">
        <v>-638.3599999999999</v>
      </c>
      <c r="L22" s="471">
        <v>-580.23400000000004</v>
      </c>
      <c r="M22" s="471">
        <v>-564.94999999999993</v>
      </c>
      <c r="N22" s="471">
        <v>-613.94399999999996</v>
      </c>
      <c r="O22" s="471">
        <v>-644.61600000000033</v>
      </c>
      <c r="P22" s="471">
        <v>-630.68399999999997</v>
      </c>
      <c r="Q22" s="471">
        <v>-582.654</v>
      </c>
      <c r="R22" s="471">
        <v>-611.61800000000005</v>
      </c>
      <c r="S22" s="471">
        <v>-747</v>
      </c>
      <c r="T22" s="471">
        <v>-610.05799999999999</v>
      </c>
      <c r="U22" s="471">
        <v>-569.61400000000003</v>
      </c>
      <c r="V22" s="471">
        <v>-622.27499999999998</v>
      </c>
      <c r="W22" s="471">
        <v>-712.8159999999998</v>
      </c>
      <c r="X22" s="471">
        <v>-589</v>
      </c>
      <c r="Y22" s="471">
        <v>-679</v>
      </c>
      <c r="Z22" s="471">
        <v>-694</v>
      </c>
      <c r="AA22" s="471">
        <v>-710</v>
      </c>
      <c r="AB22" s="471">
        <v>-687</v>
      </c>
      <c r="AC22" s="471">
        <v>-673</v>
      </c>
      <c r="AD22" s="471">
        <v>-681</v>
      </c>
      <c r="AE22" s="471">
        <v>-725.5</v>
      </c>
      <c r="AF22" s="471">
        <v>-689</v>
      </c>
      <c r="AG22" s="471">
        <v>-711</v>
      </c>
      <c r="AH22" s="471">
        <v>-709</v>
      </c>
      <c r="AI22" s="471">
        <v>-727</v>
      </c>
      <c r="AJ22" s="471">
        <v>-735</v>
      </c>
      <c r="AK22" s="471">
        <v>-747</v>
      </c>
      <c r="AL22" s="471">
        <v>-745</v>
      </c>
      <c r="AM22" s="471">
        <v>-747</v>
      </c>
      <c r="AN22" s="471">
        <v>-751</v>
      </c>
      <c r="AO22" s="471">
        <v>-769</v>
      </c>
      <c r="AP22" s="471">
        <v>-773</v>
      </c>
      <c r="AQ22" s="473">
        <v>-730</v>
      </c>
      <c r="AR22" s="181"/>
      <c r="AS22" s="181"/>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row>
    <row r="23" spans="1:88" s="61" customFormat="1" ht="12" hidden="1">
      <c r="A23" s="59" t="s">
        <v>254</v>
      </c>
      <c r="B23" s="59"/>
      <c r="C23" s="59"/>
      <c r="D23" s="60">
        <f t="shared" ref="D23:AP23" si="2">D18+D19+D21</f>
        <v>-573.08000000000004</v>
      </c>
      <c r="E23" s="60">
        <f t="shared" si="2"/>
        <v>-523.42100000000005</v>
      </c>
      <c r="F23" s="60">
        <f t="shared" si="2"/>
        <v>-579.41</v>
      </c>
      <c r="G23" s="60">
        <f t="shared" si="2"/>
        <v>-631.60299999999995</v>
      </c>
      <c r="H23" s="60">
        <f t="shared" si="2"/>
        <v>-566.97</v>
      </c>
      <c r="I23" s="60">
        <f t="shared" si="2"/>
        <v>-571.46599999999989</v>
      </c>
      <c r="J23" s="60">
        <f t="shared" si="2"/>
        <v>-598.10500000000002</v>
      </c>
      <c r="K23" s="60">
        <f t="shared" si="2"/>
        <v>-638.3599999999999</v>
      </c>
      <c r="L23" s="60">
        <f t="shared" si="2"/>
        <v>-580.23400000000004</v>
      </c>
      <c r="M23" s="60">
        <f t="shared" si="2"/>
        <v>-564.95000000000005</v>
      </c>
      <c r="N23" s="60">
        <f t="shared" si="2"/>
        <v>-613.94400000000007</v>
      </c>
      <c r="O23" s="60">
        <f t="shared" si="2"/>
        <v>-644.61599999999999</v>
      </c>
      <c r="P23" s="60">
        <f t="shared" si="2"/>
        <v>-631.38200000000006</v>
      </c>
      <c r="Q23" s="60">
        <f t="shared" si="2"/>
        <v>-581.95600000000002</v>
      </c>
      <c r="R23" s="60">
        <f t="shared" si="2"/>
        <v>-611.61800000000005</v>
      </c>
      <c r="S23" s="60">
        <f t="shared" si="2"/>
        <v>-747.23900000000003</v>
      </c>
      <c r="T23" s="60">
        <f t="shared" si="2"/>
        <v>-610.05800000000011</v>
      </c>
      <c r="U23" s="60">
        <f t="shared" si="2"/>
        <v>-569.61399999999992</v>
      </c>
      <c r="V23" s="60">
        <f t="shared" si="2"/>
        <v>-622.27499999999998</v>
      </c>
      <c r="W23" s="60">
        <f t="shared" si="2"/>
        <v>-712.81600000000026</v>
      </c>
      <c r="X23" s="60">
        <f t="shared" si="2"/>
        <v>-589</v>
      </c>
      <c r="Y23" s="60">
        <f t="shared" si="2"/>
        <v>-679</v>
      </c>
      <c r="Z23" s="60">
        <f t="shared" si="2"/>
        <v>-695</v>
      </c>
      <c r="AA23" s="60">
        <f t="shared" si="2"/>
        <v>-709.43499999999995</v>
      </c>
      <c r="AB23" s="60">
        <f t="shared" si="2"/>
        <v>-688</v>
      </c>
      <c r="AC23" s="60">
        <f t="shared" si="2"/>
        <v>-673</v>
      </c>
      <c r="AD23" s="60">
        <f t="shared" si="2"/>
        <v>-680</v>
      </c>
      <c r="AE23" s="60">
        <f t="shared" si="2"/>
        <v>-725.49999999999977</v>
      </c>
      <c r="AF23" s="60">
        <f t="shared" si="2"/>
        <v>-689</v>
      </c>
      <c r="AG23" s="60">
        <f t="shared" si="2"/>
        <v>-711</v>
      </c>
      <c r="AH23" s="60">
        <f t="shared" si="2"/>
        <v>-709</v>
      </c>
      <c r="AI23" s="60">
        <f t="shared" si="2"/>
        <v>-727</v>
      </c>
      <c r="AJ23" s="60">
        <f t="shared" si="2"/>
        <v>-735</v>
      </c>
      <c r="AK23" s="60">
        <f t="shared" si="2"/>
        <v>-747</v>
      </c>
      <c r="AL23" s="60">
        <f t="shared" si="2"/>
        <v>-745</v>
      </c>
      <c r="AM23" s="60">
        <v>-747</v>
      </c>
      <c r="AN23" s="60">
        <f t="shared" si="2"/>
        <v>-751</v>
      </c>
      <c r="AO23" s="60">
        <f t="shared" si="2"/>
        <v>-769</v>
      </c>
      <c r="AP23" s="60">
        <f t="shared" si="2"/>
        <v>-773</v>
      </c>
      <c r="AQ23" s="60"/>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row>
    <row r="24" spans="1:88">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181"/>
      <c r="AC24" s="181"/>
      <c r="AD24" s="181"/>
      <c r="AE24" s="181"/>
      <c r="AF24" s="181"/>
      <c r="AG24" s="181"/>
      <c r="AH24" s="181"/>
      <c r="AI24" s="181"/>
      <c r="AJ24" s="181"/>
      <c r="AK24" s="181"/>
      <c r="AL24" s="181"/>
      <c r="AM24" s="181"/>
      <c r="AN24" s="181"/>
      <c r="AO24" s="181"/>
      <c r="AP24" s="181"/>
      <c r="AQ24" s="181"/>
    </row>
    <row r="25" spans="1:88" s="193" customFormat="1" ht="11.25">
      <c r="A25" s="190"/>
      <c r="B25" s="190"/>
      <c r="C25" s="190"/>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row>
    <row r="26" spans="1:88" s="4" customFormat="1">
      <c r="A26" s="183"/>
      <c r="B26" s="183"/>
      <c r="C26" s="183"/>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4"/>
      <c r="AB26" s="184"/>
      <c r="AC26" s="184"/>
      <c r="AD26" s="184"/>
      <c r="AE26" s="184"/>
      <c r="AF26" s="184"/>
      <c r="AG26" s="184"/>
      <c r="AH26" s="184"/>
      <c r="AI26" s="184"/>
      <c r="AJ26" s="184"/>
      <c r="AK26" s="184"/>
      <c r="AL26" s="184"/>
      <c r="AM26" s="184"/>
      <c r="AN26" s="184"/>
      <c r="AO26" s="184"/>
      <c r="AP26" s="184"/>
      <c r="AQ26" s="184"/>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row>
    <row r="27" spans="1:88" s="4" customFormat="1">
      <c r="A27" s="185"/>
      <c r="B27" s="185"/>
      <c r="C27" s="185"/>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4"/>
      <c r="AB27" s="184"/>
      <c r="AC27" s="184"/>
      <c r="AD27" s="184"/>
      <c r="AE27" s="184"/>
      <c r="AF27" s="184"/>
      <c r="AG27" s="184"/>
      <c r="AH27" s="184"/>
      <c r="AI27" s="184"/>
      <c r="AJ27" s="184"/>
      <c r="AK27" s="184"/>
      <c r="AL27" s="184"/>
      <c r="AM27" s="184"/>
      <c r="AN27" s="184"/>
      <c r="AO27" s="184"/>
      <c r="AP27" s="184"/>
      <c r="AQ27" s="184"/>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row>
    <row r="28" spans="1:88">
      <c r="A28" s="186"/>
      <c r="B28" s="186"/>
      <c r="C28" s="186"/>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1"/>
      <c r="AB28" s="181"/>
      <c r="AC28" s="181"/>
      <c r="AD28" s="181"/>
      <c r="AE28" s="181"/>
      <c r="AF28" s="181"/>
      <c r="AG28" s="181"/>
      <c r="AH28" s="181"/>
      <c r="AI28" s="181"/>
      <c r="AJ28" s="181"/>
      <c r="AK28" s="181"/>
      <c r="AL28" s="181"/>
      <c r="AM28" s="181"/>
      <c r="AN28" s="181"/>
      <c r="AO28" s="181"/>
      <c r="AP28" s="181"/>
      <c r="AQ28" s="181"/>
    </row>
    <row r="29" spans="1:88">
      <c r="A29" s="186"/>
      <c r="B29" s="186"/>
      <c r="C29" s="186"/>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1"/>
      <c r="AB29" s="181"/>
      <c r="AC29" s="181"/>
      <c r="AD29" s="181"/>
      <c r="AE29" s="181"/>
      <c r="AF29" s="181"/>
      <c r="AG29" s="181"/>
      <c r="AH29" s="181"/>
      <c r="AI29" s="181"/>
      <c r="AJ29" s="181"/>
      <c r="AK29" s="181"/>
      <c r="AL29" s="181"/>
      <c r="AM29" s="181"/>
      <c r="AN29" s="181"/>
      <c r="AO29" s="181"/>
      <c r="AP29" s="181"/>
      <c r="AQ29" s="181"/>
    </row>
    <row r="30" spans="1:88">
      <c r="A30" s="186"/>
      <c r="B30" s="186"/>
      <c r="C30" s="186"/>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1"/>
      <c r="AB30" s="181"/>
      <c r="AC30" s="181"/>
      <c r="AD30" s="181"/>
      <c r="AE30" s="181"/>
      <c r="AF30" s="181"/>
      <c r="AG30" s="181"/>
      <c r="AH30" s="181"/>
      <c r="AI30" s="181"/>
      <c r="AJ30" s="181"/>
      <c r="AK30" s="181"/>
      <c r="AL30" s="181"/>
      <c r="AM30" s="181"/>
      <c r="AN30" s="181"/>
      <c r="AO30" s="181"/>
      <c r="AP30" s="181"/>
      <c r="AQ30" s="181"/>
    </row>
    <row r="31" spans="1:88">
      <c r="A31" s="186"/>
      <c r="B31" s="186"/>
      <c r="C31" s="186"/>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1"/>
      <c r="AB31" s="181"/>
      <c r="AC31" s="181"/>
      <c r="AD31" s="181"/>
      <c r="AE31" s="181"/>
      <c r="AF31" s="181"/>
      <c r="AG31" s="181"/>
      <c r="AH31" s="181"/>
      <c r="AI31" s="181"/>
      <c r="AJ31" s="181"/>
      <c r="AK31" s="181"/>
      <c r="AL31" s="181"/>
      <c r="AM31" s="181"/>
      <c r="AN31" s="181"/>
      <c r="AO31" s="181"/>
      <c r="AP31" s="181"/>
      <c r="AQ31" s="181"/>
    </row>
    <row r="32" spans="1:88">
      <c r="A32" s="186"/>
      <c r="B32" s="186"/>
      <c r="C32" s="186"/>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1"/>
      <c r="AB32" s="181"/>
      <c r="AC32" s="181"/>
      <c r="AD32" s="181"/>
      <c r="AE32" s="181"/>
      <c r="AF32" s="181"/>
      <c r="AG32" s="181"/>
      <c r="AH32" s="181"/>
      <c r="AI32" s="181"/>
      <c r="AJ32" s="181"/>
      <c r="AK32" s="181"/>
      <c r="AL32" s="181"/>
      <c r="AM32" s="181"/>
      <c r="AN32" s="181"/>
      <c r="AO32" s="181"/>
      <c r="AP32" s="181"/>
      <c r="AQ32" s="181"/>
    </row>
    <row r="33" spans="1:43">
      <c r="A33" s="186"/>
      <c r="B33" s="186"/>
      <c r="C33" s="186"/>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1"/>
      <c r="AB33" s="181"/>
      <c r="AC33" s="181"/>
      <c r="AD33" s="181"/>
      <c r="AE33" s="181"/>
      <c r="AF33" s="181"/>
      <c r="AG33" s="181"/>
      <c r="AH33" s="181"/>
      <c r="AI33" s="181"/>
      <c r="AJ33" s="181"/>
      <c r="AK33" s="181"/>
      <c r="AL33" s="181"/>
      <c r="AM33" s="181"/>
      <c r="AN33" s="181"/>
      <c r="AO33" s="181"/>
      <c r="AP33" s="181"/>
      <c r="AQ33" s="181"/>
    </row>
    <row r="34" spans="1:43">
      <c r="A34" s="186"/>
      <c r="B34" s="186"/>
      <c r="C34" s="186"/>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1"/>
      <c r="AB34" s="181"/>
      <c r="AC34" s="181"/>
      <c r="AD34" s="181"/>
      <c r="AE34" s="181"/>
      <c r="AF34" s="181"/>
      <c r="AG34" s="181"/>
      <c r="AH34" s="181"/>
      <c r="AI34" s="181"/>
      <c r="AJ34" s="181"/>
      <c r="AK34" s="181"/>
      <c r="AL34" s="181"/>
      <c r="AM34" s="181"/>
      <c r="AN34" s="181"/>
      <c r="AO34" s="181"/>
      <c r="AP34" s="181"/>
      <c r="AQ34" s="181"/>
    </row>
    <row r="35" spans="1:43">
      <c r="A35" s="186"/>
      <c r="B35" s="186"/>
      <c r="C35" s="186"/>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1"/>
      <c r="AB35" s="181"/>
      <c r="AC35" s="181"/>
      <c r="AD35" s="181"/>
      <c r="AE35" s="181"/>
      <c r="AF35" s="181"/>
      <c r="AG35" s="181"/>
      <c r="AH35" s="181"/>
      <c r="AI35" s="181"/>
      <c r="AJ35" s="181"/>
      <c r="AK35" s="181"/>
      <c r="AL35" s="181"/>
      <c r="AM35" s="181"/>
      <c r="AN35" s="181"/>
      <c r="AO35" s="181"/>
      <c r="AP35" s="181"/>
      <c r="AQ35" s="181"/>
    </row>
    <row r="36" spans="1:43">
      <c r="A36" s="186"/>
      <c r="B36" s="186"/>
      <c r="C36" s="186"/>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1"/>
      <c r="AB36" s="181"/>
      <c r="AC36" s="181"/>
      <c r="AD36" s="181"/>
      <c r="AE36" s="181"/>
      <c r="AF36" s="181"/>
      <c r="AG36" s="181"/>
      <c r="AH36" s="181"/>
      <c r="AI36" s="181"/>
      <c r="AJ36" s="181"/>
      <c r="AK36" s="181"/>
      <c r="AL36" s="181"/>
      <c r="AM36" s="181"/>
      <c r="AN36" s="181"/>
      <c r="AO36" s="181"/>
      <c r="AP36" s="181"/>
      <c r="AQ36" s="181"/>
    </row>
    <row r="37" spans="1:43">
      <c r="A37" s="186"/>
      <c r="B37" s="186"/>
      <c r="C37" s="186"/>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1"/>
      <c r="AB37" s="181"/>
      <c r="AC37" s="181"/>
      <c r="AD37" s="181"/>
      <c r="AE37" s="181"/>
      <c r="AF37" s="181"/>
      <c r="AG37" s="181"/>
      <c r="AH37" s="181"/>
      <c r="AI37" s="181"/>
      <c r="AJ37" s="181"/>
      <c r="AK37" s="181"/>
      <c r="AL37" s="181"/>
      <c r="AM37" s="181"/>
      <c r="AN37" s="181"/>
      <c r="AO37" s="181"/>
      <c r="AP37" s="181"/>
      <c r="AQ37" s="181"/>
    </row>
    <row r="38" spans="1:43">
      <c r="A38" s="186"/>
      <c r="B38" s="186"/>
      <c r="C38" s="186"/>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1"/>
      <c r="AB38" s="181"/>
      <c r="AC38" s="181"/>
      <c r="AD38" s="181"/>
      <c r="AE38" s="181"/>
      <c r="AF38" s="181"/>
      <c r="AG38" s="181"/>
      <c r="AH38" s="181"/>
      <c r="AI38" s="181"/>
      <c r="AJ38" s="181"/>
      <c r="AK38" s="181"/>
      <c r="AL38" s="181"/>
      <c r="AM38" s="181"/>
      <c r="AN38" s="181"/>
      <c r="AO38" s="181"/>
      <c r="AP38" s="181"/>
      <c r="AQ38" s="181"/>
    </row>
    <row r="39" spans="1:43">
      <c r="A39" s="186"/>
      <c r="B39" s="186"/>
      <c r="C39" s="186"/>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1"/>
      <c r="AB39" s="181"/>
      <c r="AC39" s="181"/>
      <c r="AD39" s="181"/>
      <c r="AE39" s="181"/>
      <c r="AF39" s="181"/>
      <c r="AG39" s="181"/>
      <c r="AH39" s="181"/>
      <c r="AI39" s="181"/>
      <c r="AJ39" s="181"/>
      <c r="AK39" s="181"/>
      <c r="AL39" s="181"/>
      <c r="AM39" s="181"/>
      <c r="AN39" s="181"/>
      <c r="AO39" s="181"/>
      <c r="AP39" s="181"/>
      <c r="AQ39" s="181"/>
    </row>
    <row r="40" spans="1:43">
      <c r="A40" s="186"/>
      <c r="B40" s="186"/>
      <c r="C40" s="186"/>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1"/>
      <c r="AB40" s="181"/>
      <c r="AC40" s="181"/>
      <c r="AD40" s="181"/>
      <c r="AE40" s="181"/>
      <c r="AF40" s="181"/>
      <c r="AG40" s="181"/>
      <c r="AH40" s="181"/>
      <c r="AI40" s="181"/>
      <c r="AJ40" s="181"/>
      <c r="AK40" s="181"/>
      <c r="AL40" s="181"/>
      <c r="AM40" s="181"/>
      <c r="AN40" s="181"/>
      <c r="AO40" s="181"/>
      <c r="AP40" s="181"/>
      <c r="AQ40" s="181"/>
    </row>
    <row r="41" spans="1:43">
      <c r="A41" s="186"/>
      <c r="B41" s="186"/>
      <c r="C41" s="186"/>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1"/>
      <c r="AB41" s="181"/>
      <c r="AC41" s="181"/>
      <c r="AD41" s="181"/>
      <c r="AE41" s="181"/>
      <c r="AF41" s="181"/>
      <c r="AG41" s="181"/>
      <c r="AH41" s="181"/>
      <c r="AI41" s="181"/>
      <c r="AJ41" s="181"/>
      <c r="AK41" s="181"/>
      <c r="AL41" s="181"/>
      <c r="AM41" s="181"/>
      <c r="AN41" s="181"/>
      <c r="AO41" s="181"/>
      <c r="AP41" s="181"/>
      <c r="AQ41" s="181"/>
    </row>
    <row r="42" spans="1:43">
      <c r="A42" s="186"/>
      <c r="B42" s="186"/>
      <c r="C42" s="186"/>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1"/>
      <c r="AB42" s="181"/>
      <c r="AC42" s="181"/>
      <c r="AD42" s="181"/>
      <c r="AE42" s="181"/>
      <c r="AF42" s="181"/>
      <c r="AG42" s="181"/>
      <c r="AH42" s="181"/>
      <c r="AI42" s="181"/>
      <c r="AJ42" s="181"/>
      <c r="AK42" s="181"/>
      <c r="AL42" s="181"/>
      <c r="AM42" s="181"/>
      <c r="AN42" s="181"/>
      <c r="AO42" s="181"/>
      <c r="AP42" s="181"/>
      <c r="AQ42" s="181"/>
    </row>
    <row r="43" spans="1:43">
      <c r="A43" s="186"/>
      <c r="B43" s="186"/>
      <c r="C43" s="186"/>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1"/>
      <c r="AB43" s="181"/>
      <c r="AC43" s="181"/>
      <c r="AD43" s="181"/>
      <c r="AE43" s="181"/>
      <c r="AF43" s="181"/>
      <c r="AG43" s="181"/>
      <c r="AH43" s="181"/>
      <c r="AI43" s="181"/>
      <c r="AJ43" s="181"/>
      <c r="AK43" s="181"/>
      <c r="AL43" s="181"/>
      <c r="AM43" s="181"/>
      <c r="AN43" s="181"/>
      <c r="AO43" s="181"/>
      <c r="AP43" s="181"/>
      <c r="AQ43" s="181"/>
    </row>
    <row r="44" spans="1:43">
      <c r="A44" s="186"/>
      <c r="B44" s="186"/>
      <c r="C44" s="186"/>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1"/>
      <c r="AB44" s="181"/>
      <c r="AC44" s="181"/>
      <c r="AD44" s="181"/>
      <c r="AE44" s="181"/>
      <c r="AF44" s="181"/>
      <c r="AG44" s="181"/>
      <c r="AH44" s="181"/>
      <c r="AI44" s="181"/>
      <c r="AJ44" s="181"/>
      <c r="AK44" s="181"/>
      <c r="AL44" s="181"/>
      <c r="AM44" s="181"/>
      <c r="AN44" s="181"/>
      <c r="AO44" s="181"/>
      <c r="AP44" s="181"/>
      <c r="AQ44" s="181"/>
    </row>
    <row r="45" spans="1:43">
      <c r="A45" s="186"/>
      <c r="B45" s="186"/>
      <c r="C45" s="186"/>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1"/>
      <c r="AB45" s="181"/>
      <c r="AC45" s="181"/>
      <c r="AD45" s="181"/>
      <c r="AE45" s="181"/>
      <c r="AF45" s="181"/>
      <c r="AG45" s="181"/>
      <c r="AH45" s="181"/>
      <c r="AI45" s="181"/>
      <c r="AJ45" s="181"/>
      <c r="AK45" s="181"/>
      <c r="AL45" s="181"/>
      <c r="AM45" s="181"/>
      <c r="AN45" s="181"/>
      <c r="AO45" s="181"/>
      <c r="AP45" s="181"/>
      <c r="AQ45" s="181"/>
    </row>
    <row r="46" spans="1:43">
      <c r="A46" s="186"/>
      <c r="B46" s="186"/>
      <c r="C46" s="186"/>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1"/>
      <c r="AB46" s="181"/>
      <c r="AC46" s="181"/>
      <c r="AD46" s="181"/>
      <c r="AE46" s="181"/>
      <c r="AF46" s="181"/>
      <c r="AG46" s="181"/>
      <c r="AH46" s="181"/>
      <c r="AI46" s="181"/>
      <c r="AJ46" s="181"/>
      <c r="AK46" s="181"/>
      <c r="AL46" s="181"/>
      <c r="AM46" s="181"/>
      <c r="AN46" s="181"/>
      <c r="AO46" s="181"/>
      <c r="AP46" s="181"/>
      <c r="AQ46" s="181"/>
    </row>
    <row r="47" spans="1:43">
      <c r="A47" s="186"/>
      <c r="B47" s="186"/>
      <c r="C47" s="186"/>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1"/>
      <c r="AB47" s="181"/>
      <c r="AC47" s="181"/>
      <c r="AD47" s="181"/>
      <c r="AE47" s="181"/>
      <c r="AF47" s="181"/>
      <c r="AG47" s="181"/>
      <c r="AH47" s="181"/>
      <c r="AI47" s="181"/>
      <c r="AJ47" s="181"/>
      <c r="AK47" s="181"/>
      <c r="AL47" s="181"/>
      <c r="AM47" s="181"/>
      <c r="AN47" s="181"/>
      <c r="AO47" s="181"/>
      <c r="AP47" s="181"/>
      <c r="AQ47" s="181"/>
    </row>
    <row r="48" spans="1:43">
      <c r="A48" s="186"/>
      <c r="B48" s="186"/>
      <c r="C48" s="186"/>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1"/>
      <c r="AB48" s="181"/>
      <c r="AC48" s="181"/>
      <c r="AD48" s="181"/>
      <c r="AE48" s="181"/>
      <c r="AF48" s="181"/>
      <c r="AG48" s="181"/>
      <c r="AH48" s="181"/>
      <c r="AI48" s="181"/>
      <c r="AJ48" s="181"/>
      <c r="AK48" s="181"/>
      <c r="AL48" s="181"/>
      <c r="AM48" s="181"/>
      <c r="AN48" s="181"/>
      <c r="AO48" s="181"/>
      <c r="AP48" s="181"/>
      <c r="AQ48" s="181"/>
    </row>
    <row r="49" spans="1:43">
      <c r="A49" s="186"/>
      <c r="B49" s="186"/>
      <c r="C49" s="186"/>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1"/>
      <c r="AB49" s="181"/>
      <c r="AC49" s="181"/>
      <c r="AD49" s="181"/>
      <c r="AE49" s="181"/>
      <c r="AF49" s="181"/>
      <c r="AG49" s="181"/>
      <c r="AH49" s="181"/>
      <c r="AI49" s="181"/>
      <c r="AJ49" s="181"/>
      <c r="AK49" s="181"/>
      <c r="AL49" s="181"/>
      <c r="AM49" s="181"/>
      <c r="AN49" s="181"/>
      <c r="AO49" s="181"/>
      <c r="AP49" s="181"/>
      <c r="AQ49" s="181"/>
    </row>
    <row r="50" spans="1:43">
      <c r="A50" s="186"/>
      <c r="B50" s="186"/>
      <c r="C50" s="186"/>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1"/>
      <c r="AB50" s="181"/>
      <c r="AC50" s="181"/>
      <c r="AD50" s="181"/>
      <c r="AE50" s="181"/>
      <c r="AF50" s="181"/>
      <c r="AG50" s="181"/>
      <c r="AH50" s="181"/>
      <c r="AI50" s="181"/>
      <c r="AJ50" s="181"/>
      <c r="AK50" s="181"/>
      <c r="AL50" s="181"/>
      <c r="AM50" s="181"/>
      <c r="AN50" s="181"/>
      <c r="AO50" s="181"/>
      <c r="AP50" s="181"/>
      <c r="AQ50" s="181"/>
    </row>
    <row r="51" spans="1:43">
      <c r="A51" s="186"/>
      <c r="B51" s="186"/>
      <c r="C51" s="186"/>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1"/>
      <c r="AB51" s="181"/>
      <c r="AC51" s="181"/>
      <c r="AD51" s="181"/>
      <c r="AE51" s="181"/>
      <c r="AF51" s="181"/>
      <c r="AG51" s="181"/>
      <c r="AH51" s="181"/>
      <c r="AI51" s="181"/>
      <c r="AJ51" s="181"/>
      <c r="AK51" s="181"/>
      <c r="AL51" s="181"/>
      <c r="AM51" s="181"/>
      <c r="AN51" s="181"/>
      <c r="AO51" s="181"/>
      <c r="AP51" s="181"/>
      <c r="AQ51" s="181"/>
    </row>
    <row r="52" spans="1:43">
      <c r="A52" s="186"/>
      <c r="B52" s="186"/>
      <c r="C52" s="186"/>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1"/>
      <c r="AB52" s="181"/>
      <c r="AC52" s="181"/>
      <c r="AD52" s="181"/>
      <c r="AE52" s="181"/>
      <c r="AF52" s="181"/>
      <c r="AG52" s="181"/>
      <c r="AH52" s="181"/>
      <c r="AI52" s="181"/>
      <c r="AJ52" s="181"/>
      <c r="AK52" s="181"/>
      <c r="AL52" s="181"/>
      <c r="AM52" s="181"/>
      <c r="AN52" s="181"/>
      <c r="AO52" s="181"/>
      <c r="AP52" s="181"/>
      <c r="AQ52" s="181"/>
    </row>
    <row r="53" spans="1:43">
      <c r="A53" s="186"/>
      <c r="B53" s="186"/>
      <c r="C53" s="186"/>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1"/>
      <c r="AB53" s="181"/>
      <c r="AC53" s="181"/>
      <c r="AD53" s="181"/>
      <c r="AE53" s="181"/>
      <c r="AF53" s="181"/>
      <c r="AG53" s="181"/>
      <c r="AH53" s="181"/>
      <c r="AI53" s="181"/>
      <c r="AJ53" s="181"/>
      <c r="AK53" s="181"/>
      <c r="AL53" s="181"/>
      <c r="AM53" s="181"/>
      <c r="AN53" s="181"/>
      <c r="AO53" s="181"/>
      <c r="AP53" s="181"/>
      <c r="AQ53" s="181"/>
    </row>
    <row r="54" spans="1:43">
      <c r="A54" s="186"/>
      <c r="B54" s="186"/>
      <c r="C54" s="186"/>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1"/>
      <c r="AB54" s="181"/>
      <c r="AC54" s="181"/>
      <c r="AD54" s="181"/>
      <c r="AE54" s="181"/>
      <c r="AF54" s="181"/>
      <c r="AG54" s="181"/>
      <c r="AH54" s="181"/>
      <c r="AI54" s="181"/>
      <c r="AJ54" s="181"/>
      <c r="AK54" s="181"/>
      <c r="AL54" s="181"/>
      <c r="AM54" s="181"/>
      <c r="AN54" s="181"/>
      <c r="AO54" s="181"/>
      <c r="AP54" s="181"/>
      <c r="AQ54" s="181"/>
    </row>
    <row r="55" spans="1:43">
      <c r="A55" s="186"/>
      <c r="B55" s="186"/>
      <c r="C55" s="186"/>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1"/>
      <c r="AB55" s="181"/>
      <c r="AC55" s="181"/>
      <c r="AD55" s="181"/>
      <c r="AE55" s="181"/>
      <c r="AF55" s="181"/>
      <c r="AG55" s="181"/>
      <c r="AH55" s="181"/>
      <c r="AI55" s="181"/>
      <c r="AJ55" s="181"/>
      <c r="AK55" s="181"/>
      <c r="AL55" s="181"/>
      <c r="AM55" s="181"/>
      <c r="AN55" s="181"/>
      <c r="AO55" s="181"/>
      <c r="AP55" s="181"/>
      <c r="AQ55" s="181"/>
    </row>
    <row r="56" spans="1:43">
      <c r="A56" s="186"/>
      <c r="B56" s="186"/>
      <c r="C56" s="186"/>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1"/>
      <c r="AB56" s="181"/>
      <c r="AC56" s="181"/>
      <c r="AD56" s="181"/>
      <c r="AE56" s="181"/>
      <c r="AF56" s="181"/>
      <c r="AG56" s="181"/>
      <c r="AH56" s="181"/>
      <c r="AI56" s="181"/>
      <c r="AJ56" s="181"/>
      <c r="AK56" s="181"/>
      <c r="AL56" s="181"/>
      <c r="AM56" s="181"/>
      <c r="AN56" s="181"/>
      <c r="AO56" s="181"/>
      <c r="AP56" s="181"/>
      <c r="AQ56" s="181"/>
    </row>
    <row r="57" spans="1:43">
      <c r="A57" s="186"/>
      <c r="B57" s="186"/>
      <c r="C57" s="186"/>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1"/>
      <c r="AB57" s="181"/>
      <c r="AC57" s="181"/>
      <c r="AD57" s="181"/>
      <c r="AE57" s="181"/>
      <c r="AF57" s="181"/>
      <c r="AG57" s="181"/>
      <c r="AH57" s="181"/>
      <c r="AI57" s="181"/>
      <c r="AJ57" s="181"/>
      <c r="AK57" s="181"/>
      <c r="AL57" s="181"/>
      <c r="AM57" s="181"/>
      <c r="AN57" s="181"/>
      <c r="AO57" s="181"/>
      <c r="AP57" s="181"/>
      <c r="AQ57" s="181"/>
    </row>
    <row r="58" spans="1:43">
      <c r="A58" s="186"/>
      <c r="B58" s="186"/>
      <c r="C58" s="186"/>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1"/>
      <c r="AB58" s="181"/>
      <c r="AC58" s="181"/>
      <c r="AD58" s="181"/>
      <c r="AE58" s="181"/>
      <c r="AF58" s="181"/>
      <c r="AG58" s="181"/>
      <c r="AH58" s="181"/>
      <c r="AI58" s="181"/>
      <c r="AJ58" s="181"/>
      <c r="AK58" s="181"/>
      <c r="AL58" s="181"/>
      <c r="AM58" s="181"/>
      <c r="AN58" s="181"/>
      <c r="AO58" s="181"/>
      <c r="AP58" s="181"/>
      <c r="AQ58" s="181"/>
    </row>
    <row r="59" spans="1:43">
      <c r="A59" s="186"/>
      <c r="B59" s="186"/>
      <c r="C59" s="186"/>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1"/>
      <c r="AB59" s="181"/>
      <c r="AC59" s="181"/>
      <c r="AD59" s="181"/>
      <c r="AE59" s="181"/>
      <c r="AF59" s="181"/>
      <c r="AG59" s="181"/>
      <c r="AH59" s="181"/>
      <c r="AI59" s="181"/>
      <c r="AJ59" s="181"/>
      <c r="AK59" s="181"/>
      <c r="AL59" s="181"/>
      <c r="AM59" s="181"/>
      <c r="AN59" s="181"/>
      <c r="AO59" s="181"/>
      <c r="AP59" s="181"/>
      <c r="AQ59" s="181"/>
    </row>
    <row r="60" spans="1:43">
      <c r="A60" s="186"/>
      <c r="B60" s="186"/>
      <c r="C60" s="186"/>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1"/>
      <c r="AB60" s="181"/>
      <c r="AC60" s="181"/>
      <c r="AD60" s="181"/>
      <c r="AE60" s="181"/>
      <c r="AF60" s="181"/>
      <c r="AG60" s="181"/>
      <c r="AH60" s="181"/>
      <c r="AI60" s="181"/>
      <c r="AJ60" s="181"/>
      <c r="AK60" s="181"/>
      <c r="AL60" s="181"/>
      <c r="AM60" s="181"/>
      <c r="AN60" s="181"/>
      <c r="AO60" s="181"/>
      <c r="AP60" s="181"/>
      <c r="AQ60" s="181"/>
    </row>
    <row r="61" spans="1:43">
      <c r="A61" s="186"/>
      <c r="B61" s="186"/>
      <c r="C61" s="186"/>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1"/>
      <c r="AB61" s="181"/>
      <c r="AC61" s="181"/>
      <c r="AD61" s="181"/>
      <c r="AE61" s="181"/>
      <c r="AF61" s="181"/>
      <c r="AG61" s="181"/>
      <c r="AH61" s="181"/>
      <c r="AI61" s="181"/>
      <c r="AJ61" s="181"/>
      <c r="AK61" s="181"/>
      <c r="AL61" s="181"/>
      <c r="AM61" s="181"/>
      <c r="AN61" s="181"/>
      <c r="AO61" s="181"/>
      <c r="AP61" s="181"/>
      <c r="AQ61" s="181"/>
    </row>
    <row r="62" spans="1:43">
      <c r="A62" s="186"/>
      <c r="B62" s="186"/>
      <c r="C62" s="186"/>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1"/>
      <c r="AB62" s="181"/>
      <c r="AC62" s="181"/>
      <c r="AD62" s="181"/>
      <c r="AE62" s="181"/>
      <c r="AF62" s="181"/>
      <c r="AG62" s="181"/>
      <c r="AH62" s="181"/>
      <c r="AI62" s="181"/>
      <c r="AJ62" s="181"/>
      <c r="AK62" s="181"/>
      <c r="AL62" s="181"/>
      <c r="AM62" s="181"/>
      <c r="AN62" s="181"/>
      <c r="AO62" s="181"/>
      <c r="AP62" s="181"/>
      <c r="AQ62" s="181"/>
    </row>
    <row r="63" spans="1:43">
      <c r="A63" s="186"/>
      <c r="B63" s="186"/>
      <c r="C63" s="186"/>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1"/>
      <c r="AB63" s="181"/>
      <c r="AC63" s="181"/>
      <c r="AD63" s="181"/>
      <c r="AE63" s="181"/>
      <c r="AF63" s="181"/>
      <c r="AG63" s="181"/>
      <c r="AH63" s="181"/>
      <c r="AI63" s="181"/>
      <c r="AJ63" s="181"/>
      <c r="AK63" s="181"/>
      <c r="AL63" s="181"/>
      <c r="AM63" s="181"/>
      <c r="AN63" s="181"/>
      <c r="AO63" s="181"/>
      <c r="AP63" s="181"/>
      <c r="AQ63" s="181"/>
    </row>
    <row r="64" spans="1:43">
      <c r="A64" s="186"/>
      <c r="B64" s="186"/>
      <c r="C64" s="186"/>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1"/>
      <c r="AB64" s="181"/>
      <c r="AC64" s="181"/>
      <c r="AD64" s="181"/>
      <c r="AE64" s="181"/>
      <c r="AF64" s="181"/>
      <c r="AG64" s="181"/>
      <c r="AH64" s="181"/>
      <c r="AI64" s="181"/>
      <c r="AJ64" s="181"/>
      <c r="AK64" s="181"/>
      <c r="AL64" s="181"/>
      <c r="AM64" s="181"/>
      <c r="AN64" s="181"/>
      <c r="AO64" s="181"/>
      <c r="AP64" s="181"/>
      <c r="AQ64" s="181"/>
    </row>
    <row r="65" spans="1:43">
      <c r="A65" s="186"/>
      <c r="B65" s="186"/>
      <c r="C65" s="186"/>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1"/>
      <c r="AB65" s="181"/>
      <c r="AC65" s="181"/>
      <c r="AD65" s="181"/>
      <c r="AE65" s="181"/>
      <c r="AF65" s="181"/>
      <c r="AG65" s="181"/>
      <c r="AH65" s="181"/>
      <c r="AI65" s="181"/>
      <c r="AJ65" s="181"/>
      <c r="AK65" s="181"/>
      <c r="AL65" s="181"/>
      <c r="AM65" s="181"/>
      <c r="AN65" s="181"/>
      <c r="AO65" s="181"/>
      <c r="AP65" s="181"/>
      <c r="AQ65" s="181"/>
    </row>
    <row r="66" spans="1:43">
      <c r="A66" s="186"/>
      <c r="B66" s="186"/>
      <c r="C66" s="186"/>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1"/>
      <c r="AB66" s="181"/>
      <c r="AC66" s="181"/>
      <c r="AD66" s="181"/>
      <c r="AE66" s="181"/>
      <c r="AF66" s="181"/>
      <c r="AG66" s="181"/>
      <c r="AH66" s="181"/>
      <c r="AI66" s="181"/>
      <c r="AJ66" s="181"/>
      <c r="AK66" s="181"/>
      <c r="AL66" s="181"/>
      <c r="AM66" s="181"/>
      <c r="AN66" s="181"/>
      <c r="AO66" s="181"/>
      <c r="AP66" s="181"/>
      <c r="AQ66" s="181"/>
    </row>
    <row r="67" spans="1:43">
      <c r="A67" s="186"/>
      <c r="B67" s="186"/>
      <c r="C67" s="186"/>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1"/>
      <c r="AB67" s="181"/>
      <c r="AC67" s="181"/>
      <c r="AD67" s="181"/>
      <c r="AE67" s="181"/>
      <c r="AF67" s="181"/>
      <c r="AG67" s="181"/>
      <c r="AH67" s="181"/>
      <c r="AI67" s="181"/>
      <c r="AJ67" s="181"/>
      <c r="AK67" s="181"/>
      <c r="AL67" s="181"/>
      <c r="AM67" s="181"/>
      <c r="AN67" s="181"/>
      <c r="AO67" s="181"/>
      <c r="AP67" s="181"/>
      <c r="AQ67" s="181"/>
    </row>
    <row r="68" spans="1:43">
      <c r="A68" s="186"/>
      <c r="B68" s="186"/>
      <c r="C68" s="186"/>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1"/>
      <c r="AB68" s="181"/>
      <c r="AC68" s="181"/>
      <c r="AD68" s="181"/>
      <c r="AE68" s="181"/>
      <c r="AF68" s="181"/>
      <c r="AG68" s="181"/>
      <c r="AH68" s="181"/>
      <c r="AI68" s="181"/>
      <c r="AJ68" s="181"/>
      <c r="AK68" s="181"/>
      <c r="AL68" s="181"/>
      <c r="AM68" s="181"/>
      <c r="AN68" s="181"/>
      <c r="AO68" s="181"/>
      <c r="AP68" s="181"/>
      <c r="AQ68" s="181"/>
    </row>
    <row r="69" spans="1:43">
      <c r="A69" s="186"/>
      <c r="B69" s="186"/>
      <c r="C69" s="186"/>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1"/>
      <c r="AB69" s="181"/>
      <c r="AC69" s="181"/>
      <c r="AD69" s="181"/>
      <c r="AE69" s="181"/>
      <c r="AF69" s="181"/>
      <c r="AG69" s="181"/>
      <c r="AH69" s="181"/>
      <c r="AI69" s="181"/>
      <c r="AJ69" s="181"/>
      <c r="AK69" s="181"/>
      <c r="AL69" s="181"/>
      <c r="AM69" s="181"/>
      <c r="AN69" s="181"/>
      <c r="AO69" s="181"/>
      <c r="AP69" s="181"/>
      <c r="AQ69" s="181"/>
    </row>
    <row r="70" spans="1:43">
      <c r="A70" s="186"/>
      <c r="B70" s="186"/>
      <c r="C70" s="186"/>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1"/>
      <c r="AB70" s="181"/>
      <c r="AC70" s="181"/>
      <c r="AD70" s="181"/>
      <c r="AE70" s="181"/>
      <c r="AF70" s="181"/>
      <c r="AG70" s="181"/>
      <c r="AH70" s="181"/>
      <c r="AI70" s="181"/>
      <c r="AJ70" s="181"/>
      <c r="AK70" s="181"/>
      <c r="AL70" s="181"/>
      <c r="AM70" s="181"/>
      <c r="AN70" s="181"/>
      <c r="AO70" s="181"/>
      <c r="AP70" s="181"/>
      <c r="AQ70" s="181"/>
    </row>
    <row r="71" spans="1:43">
      <c r="A71" s="186"/>
      <c r="B71" s="186"/>
      <c r="C71" s="186"/>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1"/>
      <c r="AB71" s="181"/>
      <c r="AC71" s="181"/>
      <c r="AD71" s="181"/>
      <c r="AE71" s="181"/>
      <c r="AF71" s="181"/>
      <c r="AG71" s="181"/>
      <c r="AH71" s="181"/>
      <c r="AI71" s="181"/>
      <c r="AJ71" s="181"/>
      <c r="AK71" s="181"/>
      <c r="AL71" s="181"/>
      <c r="AM71" s="181"/>
      <c r="AN71" s="181"/>
      <c r="AO71" s="181"/>
      <c r="AP71" s="181"/>
      <c r="AQ71" s="181"/>
    </row>
    <row r="72" spans="1:43">
      <c r="A72" s="186"/>
      <c r="B72" s="186"/>
      <c r="C72" s="186"/>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1"/>
      <c r="AB72" s="181"/>
      <c r="AC72" s="181"/>
      <c r="AD72" s="181"/>
      <c r="AE72" s="181"/>
      <c r="AF72" s="181"/>
      <c r="AG72" s="181"/>
      <c r="AH72" s="181"/>
      <c r="AI72" s="181"/>
      <c r="AJ72" s="181"/>
      <c r="AK72" s="181"/>
      <c r="AL72" s="181"/>
      <c r="AM72" s="181"/>
      <c r="AN72" s="181"/>
      <c r="AO72" s="181"/>
      <c r="AP72" s="181"/>
      <c r="AQ72" s="181"/>
    </row>
    <row r="73" spans="1:43">
      <c r="A73" s="186"/>
      <c r="B73" s="186"/>
      <c r="C73" s="186"/>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1"/>
      <c r="AB73" s="181"/>
      <c r="AC73" s="181"/>
      <c r="AD73" s="181"/>
      <c r="AE73" s="181"/>
      <c r="AF73" s="181"/>
      <c r="AG73" s="181"/>
      <c r="AH73" s="181"/>
      <c r="AI73" s="181"/>
      <c r="AJ73" s="181"/>
      <c r="AK73" s="181"/>
      <c r="AL73" s="181"/>
      <c r="AM73" s="181"/>
      <c r="AN73" s="181"/>
      <c r="AO73" s="181"/>
      <c r="AP73" s="181"/>
      <c r="AQ73" s="181"/>
    </row>
    <row r="74" spans="1:43">
      <c r="A74" s="186"/>
      <c r="B74" s="186"/>
      <c r="C74" s="186"/>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1"/>
      <c r="AB74" s="181"/>
      <c r="AC74" s="181"/>
      <c r="AD74" s="181"/>
      <c r="AE74" s="181"/>
      <c r="AF74" s="181"/>
      <c r="AG74" s="181"/>
      <c r="AH74" s="181"/>
      <c r="AI74" s="181"/>
      <c r="AJ74" s="181"/>
      <c r="AK74" s="181"/>
      <c r="AL74" s="181"/>
      <c r="AM74" s="181"/>
      <c r="AN74" s="181"/>
      <c r="AO74" s="181"/>
      <c r="AP74" s="181"/>
      <c r="AQ74" s="181"/>
    </row>
    <row r="75" spans="1:43">
      <c r="A75" s="186"/>
      <c r="B75" s="186"/>
      <c r="C75" s="186"/>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1"/>
      <c r="AB75" s="181"/>
      <c r="AC75" s="181"/>
      <c r="AD75" s="181"/>
      <c r="AE75" s="181"/>
      <c r="AF75" s="181"/>
      <c r="AG75" s="181"/>
      <c r="AH75" s="181"/>
      <c r="AI75" s="181"/>
      <c r="AJ75" s="181"/>
      <c r="AK75" s="181"/>
      <c r="AL75" s="181"/>
      <c r="AM75" s="181"/>
      <c r="AN75" s="181"/>
      <c r="AO75" s="181"/>
      <c r="AP75" s="181"/>
      <c r="AQ75" s="181"/>
    </row>
    <row r="76" spans="1:43">
      <c r="A76" s="186"/>
      <c r="B76" s="186"/>
      <c r="C76" s="186"/>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1"/>
      <c r="AB76" s="181"/>
      <c r="AC76" s="181"/>
      <c r="AD76" s="181"/>
      <c r="AE76" s="181"/>
      <c r="AF76" s="181"/>
      <c r="AG76" s="181"/>
      <c r="AH76" s="181"/>
      <c r="AI76" s="181"/>
      <c r="AJ76" s="181"/>
      <c r="AK76" s="181"/>
      <c r="AL76" s="181"/>
      <c r="AM76" s="181"/>
      <c r="AN76" s="181"/>
      <c r="AO76" s="181"/>
      <c r="AP76" s="181"/>
      <c r="AQ76" s="181"/>
    </row>
    <row r="77" spans="1:43">
      <c r="A77" s="186"/>
      <c r="B77" s="186"/>
      <c r="C77" s="186"/>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1"/>
      <c r="AB77" s="181"/>
      <c r="AC77" s="181"/>
      <c r="AD77" s="181"/>
      <c r="AE77" s="181"/>
      <c r="AF77" s="181"/>
      <c r="AG77" s="181"/>
      <c r="AH77" s="181"/>
      <c r="AI77" s="181"/>
      <c r="AJ77" s="181"/>
      <c r="AK77" s="181"/>
      <c r="AL77" s="181"/>
      <c r="AM77" s="181"/>
      <c r="AN77" s="181"/>
      <c r="AO77" s="181"/>
      <c r="AP77" s="181"/>
      <c r="AQ77" s="181"/>
    </row>
    <row r="78" spans="1:43">
      <c r="A78" s="186"/>
      <c r="B78" s="186"/>
      <c r="C78" s="186"/>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1"/>
      <c r="AB78" s="181"/>
      <c r="AC78" s="181"/>
      <c r="AD78" s="181"/>
      <c r="AE78" s="181"/>
      <c r="AF78" s="181"/>
      <c r="AG78" s="181"/>
      <c r="AH78" s="181"/>
      <c r="AI78" s="181"/>
      <c r="AJ78" s="181"/>
      <c r="AK78" s="181"/>
      <c r="AL78" s="181"/>
      <c r="AM78" s="181"/>
      <c r="AN78" s="181"/>
      <c r="AO78" s="181"/>
      <c r="AP78" s="181"/>
      <c r="AQ78" s="181"/>
    </row>
    <row r="79" spans="1:43">
      <c r="A79" s="186"/>
      <c r="B79" s="186"/>
      <c r="C79" s="186"/>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1"/>
      <c r="AB79" s="181"/>
      <c r="AC79" s="181"/>
      <c r="AD79" s="181"/>
      <c r="AE79" s="181"/>
      <c r="AF79" s="181"/>
      <c r="AG79" s="181"/>
      <c r="AH79" s="181"/>
      <c r="AI79" s="181"/>
      <c r="AJ79" s="181"/>
      <c r="AK79" s="181"/>
      <c r="AL79" s="181"/>
      <c r="AM79" s="181"/>
      <c r="AN79" s="181"/>
      <c r="AO79" s="181"/>
      <c r="AP79" s="181"/>
      <c r="AQ79" s="181"/>
    </row>
    <row r="80" spans="1:43">
      <c r="A80" s="186"/>
      <c r="B80" s="186"/>
      <c r="C80" s="186"/>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1"/>
      <c r="AB80" s="181"/>
      <c r="AC80" s="181"/>
      <c r="AD80" s="181"/>
      <c r="AE80" s="181"/>
      <c r="AF80" s="181"/>
      <c r="AG80" s="181"/>
      <c r="AH80" s="181"/>
      <c r="AI80" s="181"/>
      <c r="AJ80" s="181"/>
      <c r="AK80" s="181"/>
      <c r="AL80" s="181"/>
      <c r="AM80" s="181"/>
      <c r="AN80" s="181"/>
      <c r="AO80" s="181"/>
      <c r="AP80" s="181"/>
      <c r="AQ80" s="181"/>
    </row>
    <row r="81" spans="1:43">
      <c r="A81" s="186"/>
      <c r="B81" s="186"/>
      <c r="C81" s="186"/>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1"/>
      <c r="AB81" s="181"/>
      <c r="AC81" s="181"/>
      <c r="AD81" s="181"/>
      <c r="AE81" s="181"/>
      <c r="AF81" s="181"/>
      <c r="AG81" s="181"/>
      <c r="AH81" s="181"/>
      <c r="AI81" s="181"/>
      <c r="AJ81" s="181"/>
      <c r="AK81" s="181"/>
      <c r="AL81" s="181"/>
      <c r="AM81" s="181"/>
      <c r="AN81" s="181"/>
      <c r="AO81" s="181"/>
      <c r="AP81" s="181"/>
      <c r="AQ81" s="181"/>
    </row>
    <row r="82" spans="1:43">
      <c r="A82" s="186"/>
      <c r="B82" s="186"/>
      <c r="C82" s="186"/>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1"/>
      <c r="AB82" s="181"/>
      <c r="AC82" s="181"/>
      <c r="AD82" s="181"/>
      <c r="AE82" s="181"/>
      <c r="AF82" s="181"/>
      <c r="AG82" s="181"/>
      <c r="AH82" s="181"/>
      <c r="AI82" s="181"/>
      <c r="AJ82" s="181"/>
      <c r="AK82" s="181"/>
      <c r="AL82" s="181"/>
      <c r="AM82" s="181"/>
      <c r="AN82" s="181"/>
      <c r="AO82" s="181"/>
      <c r="AP82" s="181"/>
      <c r="AQ82" s="181"/>
    </row>
    <row r="83" spans="1:43">
      <c r="A83" s="186"/>
      <c r="B83" s="186"/>
      <c r="C83" s="186"/>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1"/>
      <c r="AB83" s="181"/>
      <c r="AC83" s="181"/>
      <c r="AD83" s="181"/>
      <c r="AE83" s="181"/>
      <c r="AF83" s="181"/>
      <c r="AG83" s="181"/>
      <c r="AH83" s="181"/>
      <c r="AI83" s="181"/>
      <c r="AJ83" s="181"/>
      <c r="AK83" s="181"/>
      <c r="AL83" s="181"/>
      <c r="AM83" s="181"/>
      <c r="AN83" s="181"/>
      <c r="AO83" s="181"/>
      <c r="AP83" s="181"/>
      <c r="AQ83" s="181"/>
    </row>
    <row r="84" spans="1:43">
      <c r="A84" s="186"/>
      <c r="B84" s="186"/>
      <c r="C84" s="186"/>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1"/>
      <c r="AB84" s="181"/>
      <c r="AC84" s="181"/>
      <c r="AD84" s="181"/>
      <c r="AE84" s="181"/>
      <c r="AF84" s="181"/>
      <c r="AG84" s="181"/>
      <c r="AH84" s="181"/>
      <c r="AI84" s="181"/>
      <c r="AJ84" s="181"/>
      <c r="AK84" s="181"/>
      <c r="AL84" s="181"/>
      <c r="AM84" s="181"/>
      <c r="AN84" s="181"/>
      <c r="AO84" s="181"/>
      <c r="AP84" s="181"/>
      <c r="AQ84" s="181"/>
    </row>
    <row r="85" spans="1:43">
      <c r="A85" s="186"/>
      <c r="B85" s="186"/>
      <c r="C85" s="186"/>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1"/>
      <c r="AB85" s="181"/>
      <c r="AC85" s="181"/>
      <c r="AD85" s="181"/>
      <c r="AE85" s="181"/>
      <c r="AF85" s="181"/>
      <c r="AG85" s="181"/>
      <c r="AH85" s="181"/>
      <c r="AI85" s="181"/>
      <c r="AJ85" s="181"/>
      <c r="AK85" s="181"/>
      <c r="AL85" s="181"/>
      <c r="AM85" s="181"/>
      <c r="AN85" s="181"/>
      <c r="AO85" s="181"/>
      <c r="AP85" s="181"/>
      <c r="AQ85" s="181"/>
    </row>
    <row r="86" spans="1:43">
      <c r="A86" s="186"/>
      <c r="B86" s="186"/>
      <c r="C86" s="186"/>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1"/>
      <c r="AB86" s="181"/>
      <c r="AC86" s="181"/>
      <c r="AD86" s="181"/>
      <c r="AE86" s="181"/>
      <c r="AF86" s="181"/>
      <c r="AG86" s="181"/>
      <c r="AH86" s="181"/>
      <c r="AI86" s="181"/>
      <c r="AJ86" s="181"/>
      <c r="AK86" s="181"/>
      <c r="AL86" s="181"/>
      <c r="AM86" s="181"/>
      <c r="AN86" s="181"/>
      <c r="AO86" s="181"/>
      <c r="AP86" s="181"/>
      <c r="AQ86" s="181"/>
    </row>
    <row r="87" spans="1:43">
      <c r="A87" s="186"/>
      <c r="B87" s="186"/>
      <c r="C87" s="186"/>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1"/>
      <c r="AB87" s="181"/>
      <c r="AC87" s="181"/>
      <c r="AD87" s="181"/>
      <c r="AE87" s="181"/>
      <c r="AF87" s="181"/>
      <c r="AG87" s="181"/>
      <c r="AH87" s="181"/>
      <c r="AI87" s="181"/>
      <c r="AJ87" s="181"/>
      <c r="AK87" s="181"/>
      <c r="AL87" s="181"/>
      <c r="AM87" s="181"/>
      <c r="AN87" s="181"/>
      <c r="AO87" s="181"/>
      <c r="AP87" s="181"/>
      <c r="AQ87" s="181"/>
    </row>
    <row r="88" spans="1:43">
      <c r="A88" s="186"/>
      <c r="B88" s="186"/>
      <c r="C88" s="186"/>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1"/>
      <c r="AB88" s="181"/>
      <c r="AC88" s="181"/>
      <c r="AD88" s="181"/>
      <c r="AE88" s="181"/>
      <c r="AF88" s="181"/>
      <c r="AG88" s="181"/>
      <c r="AH88" s="181"/>
      <c r="AI88" s="181"/>
      <c r="AJ88" s="181"/>
      <c r="AK88" s="181"/>
      <c r="AL88" s="181"/>
      <c r="AM88" s="181"/>
      <c r="AN88" s="181"/>
      <c r="AO88" s="181"/>
      <c r="AP88" s="181"/>
      <c r="AQ88" s="181"/>
    </row>
    <row r="89" spans="1:43">
      <c r="A89" s="186"/>
      <c r="B89" s="186"/>
      <c r="C89" s="186"/>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1"/>
      <c r="AB89" s="181"/>
      <c r="AC89" s="181"/>
      <c r="AD89" s="181"/>
      <c r="AE89" s="181"/>
      <c r="AF89" s="181"/>
      <c r="AG89" s="181"/>
      <c r="AH89" s="181"/>
      <c r="AI89" s="181"/>
      <c r="AJ89" s="181"/>
      <c r="AK89" s="181"/>
      <c r="AL89" s="181"/>
      <c r="AM89" s="181"/>
      <c r="AN89" s="181"/>
      <c r="AO89" s="181"/>
      <c r="AP89" s="181"/>
      <c r="AQ89" s="181"/>
    </row>
    <row r="90" spans="1:43">
      <c r="A90" s="186"/>
      <c r="B90" s="186"/>
      <c r="C90" s="186"/>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1"/>
      <c r="AB90" s="181"/>
      <c r="AC90" s="181"/>
      <c r="AD90" s="181"/>
      <c r="AE90" s="181"/>
      <c r="AF90" s="181"/>
      <c r="AG90" s="181"/>
      <c r="AH90" s="181"/>
      <c r="AI90" s="181"/>
      <c r="AJ90" s="181"/>
      <c r="AK90" s="181"/>
      <c r="AL90" s="181"/>
      <c r="AM90" s="181"/>
      <c r="AN90" s="181"/>
      <c r="AO90" s="181"/>
      <c r="AP90" s="181"/>
      <c r="AQ90" s="181"/>
    </row>
    <row r="91" spans="1:43">
      <c r="A91" s="186"/>
      <c r="B91" s="186"/>
      <c r="C91" s="186"/>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1"/>
      <c r="AB91" s="181"/>
      <c r="AC91" s="181"/>
      <c r="AD91" s="181"/>
      <c r="AE91" s="181"/>
      <c r="AF91" s="181"/>
      <c r="AG91" s="181"/>
      <c r="AH91" s="181"/>
      <c r="AI91" s="181"/>
      <c r="AJ91" s="181"/>
      <c r="AK91" s="181"/>
      <c r="AL91" s="181"/>
      <c r="AM91" s="181"/>
      <c r="AN91" s="181"/>
      <c r="AO91" s="181"/>
      <c r="AP91" s="181"/>
      <c r="AQ91" s="181"/>
    </row>
    <row r="92" spans="1:43">
      <c r="A92" s="186"/>
      <c r="B92" s="186"/>
      <c r="C92" s="186"/>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1"/>
      <c r="AB92" s="181"/>
      <c r="AC92" s="181"/>
      <c r="AD92" s="181"/>
      <c r="AE92" s="181"/>
      <c r="AF92" s="181"/>
      <c r="AG92" s="181"/>
      <c r="AH92" s="181"/>
      <c r="AI92" s="181"/>
      <c r="AJ92" s="181"/>
      <c r="AK92" s="181"/>
      <c r="AL92" s="181"/>
      <c r="AM92" s="181"/>
      <c r="AN92" s="181"/>
      <c r="AO92" s="181"/>
      <c r="AP92" s="181"/>
      <c r="AQ92" s="181"/>
    </row>
    <row r="93" spans="1:43">
      <c r="A93" s="186"/>
      <c r="B93" s="186"/>
      <c r="C93" s="186"/>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1"/>
      <c r="AB93" s="181"/>
      <c r="AC93" s="181"/>
      <c r="AD93" s="181"/>
      <c r="AE93" s="181"/>
      <c r="AF93" s="181"/>
      <c r="AG93" s="181"/>
      <c r="AH93" s="181"/>
      <c r="AI93" s="181"/>
      <c r="AJ93" s="181"/>
      <c r="AK93" s="181"/>
      <c r="AL93" s="181"/>
      <c r="AM93" s="181"/>
      <c r="AN93" s="181"/>
      <c r="AO93" s="181"/>
      <c r="AP93" s="181"/>
      <c r="AQ93" s="181"/>
    </row>
    <row r="94" spans="1:43">
      <c r="A94" s="186"/>
      <c r="B94" s="186"/>
      <c r="C94" s="186"/>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1"/>
      <c r="AB94" s="181"/>
      <c r="AC94" s="181"/>
      <c r="AD94" s="181"/>
      <c r="AE94" s="181"/>
      <c r="AF94" s="181"/>
      <c r="AG94" s="181"/>
      <c r="AH94" s="181"/>
      <c r="AI94" s="181"/>
      <c r="AJ94" s="181"/>
      <c r="AK94" s="181"/>
      <c r="AL94" s="181"/>
      <c r="AM94" s="181"/>
      <c r="AN94" s="181"/>
      <c r="AO94" s="181"/>
      <c r="AP94" s="181"/>
      <c r="AQ94" s="181"/>
    </row>
    <row r="95" spans="1:43">
      <c r="A95" s="186"/>
      <c r="B95" s="186"/>
      <c r="C95" s="186"/>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1"/>
      <c r="AB95" s="181"/>
      <c r="AC95" s="181"/>
      <c r="AD95" s="181"/>
      <c r="AE95" s="181"/>
      <c r="AF95" s="181"/>
      <c r="AG95" s="181"/>
      <c r="AH95" s="181"/>
      <c r="AI95" s="181"/>
      <c r="AJ95" s="181"/>
      <c r="AK95" s="181"/>
      <c r="AL95" s="181"/>
      <c r="AM95" s="181"/>
      <c r="AN95" s="181"/>
      <c r="AO95" s="181"/>
      <c r="AP95" s="181"/>
      <c r="AQ95" s="181"/>
    </row>
    <row r="96" spans="1:43">
      <c r="A96" s="186"/>
      <c r="B96" s="186"/>
      <c r="C96" s="186"/>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1"/>
      <c r="AB96" s="181"/>
      <c r="AC96" s="181"/>
      <c r="AD96" s="181"/>
      <c r="AE96" s="181"/>
      <c r="AF96" s="181"/>
      <c r="AG96" s="181"/>
      <c r="AH96" s="181"/>
      <c r="AI96" s="181"/>
      <c r="AJ96" s="181"/>
      <c r="AK96" s="181"/>
      <c r="AL96" s="181"/>
      <c r="AM96" s="181"/>
      <c r="AN96" s="181"/>
      <c r="AO96" s="181"/>
      <c r="AP96" s="181"/>
      <c r="AQ96" s="181"/>
    </row>
    <row r="97" spans="1:43">
      <c r="A97" s="186"/>
      <c r="B97" s="186"/>
      <c r="C97" s="186"/>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1"/>
      <c r="AB97" s="181"/>
      <c r="AC97" s="181"/>
      <c r="AD97" s="181"/>
      <c r="AE97" s="181"/>
      <c r="AF97" s="181"/>
      <c r="AG97" s="181"/>
      <c r="AH97" s="181"/>
      <c r="AI97" s="181"/>
      <c r="AJ97" s="181"/>
      <c r="AK97" s="181"/>
      <c r="AL97" s="181"/>
      <c r="AM97" s="181"/>
      <c r="AN97" s="181"/>
      <c r="AO97" s="181"/>
      <c r="AP97" s="181"/>
      <c r="AQ97" s="181"/>
    </row>
    <row r="98" spans="1:43">
      <c r="A98" s="186"/>
      <c r="B98" s="186"/>
      <c r="C98" s="186"/>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1"/>
      <c r="AB98" s="181"/>
      <c r="AC98" s="181"/>
      <c r="AD98" s="181"/>
      <c r="AE98" s="181"/>
      <c r="AF98" s="181"/>
      <c r="AG98" s="181"/>
      <c r="AH98" s="181"/>
      <c r="AI98" s="181"/>
      <c r="AJ98" s="181"/>
      <c r="AK98" s="181"/>
      <c r="AL98" s="181"/>
      <c r="AM98" s="181"/>
      <c r="AN98" s="181"/>
      <c r="AO98" s="181"/>
      <c r="AP98" s="181"/>
      <c r="AQ98" s="181"/>
    </row>
    <row r="99" spans="1:43">
      <c r="A99" s="186"/>
      <c r="B99" s="186"/>
      <c r="C99" s="186"/>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1"/>
      <c r="AB99" s="181"/>
      <c r="AC99" s="181"/>
      <c r="AD99" s="181"/>
      <c r="AE99" s="181"/>
      <c r="AF99" s="181"/>
      <c r="AG99" s="181"/>
      <c r="AH99" s="181"/>
      <c r="AI99" s="181"/>
      <c r="AJ99" s="181"/>
      <c r="AK99" s="181"/>
      <c r="AL99" s="181"/>
      <c r="AM99" s="181"/>
      <c r="AN99" s="181"/>
      <c r="AO99" s="181"/>
      <c r="AP99" s="181"/>
      <c r="AQ99" s="181"/>
    </row>
    <row r="100" spans="1:43">
      <c r="A100" s="186"/>
      <c r="B100" s="186"/>
      <c r="C100" s="186"/>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1"/>
      <c r="AB100" s="181"/>
      <c r="AC100" s="181"/>
      <c r="AD100" s="181"/>
      <c r="AE100" s="181"/>
      <c r="AF100" s="181"/>
      <c r="AG100" s="181"/>
      <c r="AH100" s="181"/>
      <c r="AI100" s="181"/>
      <c r="AJ100" s="181"/>
      <c r="AK100" s="181"/>
      <c r="AL100" s="181"/>
      <c r="AM100" s="181"/>
      <c r="AN100" s="181"/>
      <c r="AO100" s="181"/>
      <c r="AP100" s="181"/>
      <c r="AQ100" s="181"/>
    </row>
    <row r="101" spans="1:43">
      <c r="A101" s="186"/>
      <c r="B101" s="186"/>
      <c r="C101" s="186"/>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1"/>
      <c r="AB101" s="181"/>
      <c r="AC101" s="181"/>
      <c r="AD101" s="181"/>
      <c r="AE101" s="181"/>
      <c r="AF101" s="181"/>
      <c r="AG101" s="181"/>
      <c r="AH101" s="181"/>
      <c r="AI101" s="181"/>
      <c r="AJ101" s="181"/>
      <c r="AK101" s="181"/>
      <c r="AL101" s="181"/>
      <c r="AM101" s="181"/>
      <c r="AN101" s="181"/>
      <c r="AO101" s="181"/>
      <c r="AP101" s="181"/>
      <c r="AQ101" s="181"/>
    </row>
    <row r="102" spans="1:43">
      <c r="A102" s="186"/>
      <c r="B102" s="186"/>
      <c r="C102" s="186"/>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1"/>
      <c r="AB102" s="181"/>
      <c r="AC102" s="181"/>
      <c r="AD102" s="181"/>
      <c r="AE102" s="181"/>
      <c r="AF102" s="181"/>
      <c r="AG102" s="181"/>
      <c r="AH102" s="181"/>
      <c r="AI102" s="181"/>
      <c r="AJ102" s="181"/>
      <c r="AK102" s="181"/>
      <c r="AL102" s="181"/>
      <c r="AM102" s="181"/>
      <c r="AN102" s="181"/>
      <c r="AO102" s="181"/>
      <c r="AP102" s="181"/>
      <c r="AQ102" s="181"/>
    </row>
    <row r="103" spans="1:43">
      <c r="A103" s="186"/>
      <c r="B103" s="186"/>
      <c r="C103" s="186"/>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1"/>
      <c r="AB103" s="181"/>
      <c r="AC103" s="181"/>
      <c r="AD103" s="181"/>
      <c r="AE103" s="181"/>
      <c r="AF103" s="181"/>
      <c r="AG103" s="181"/>
      <c r="AH103" s="181"/>
      <c r="AI103" s="181"/>
      <c r="AJ103" s="181"/>
      <c r="AK103" s="181"/>
      <c r="AL103" s="181"/>
      <c r="AM103" s="181"/>
      <c r="AN103" s="181"/>
      <c r="AO103" s="181"/>
      <c r="AP103" s="181"/>
      <c r="AQ103" s="181"/>
    </row>
    <row r="104" spans="1:43">
      <c r="A104" s="186"/>
      <c r="B104" s="186"/>
      <c r="C104" s="186"/>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1"/>
      <c r="AB104" s="181"/>
      <c r="AC104" s="181"/>
      <c r="AD104" s="181"/>
      <c r="AE104" s="181"/>
      <c r="AF104" s="181"/>
      <c r="AG104" s="181"/>
      <c r="AH104" s="181"/>
      <c r="AI104" s="181"/>
      <c r="AJ104" s="181"/>
      <c r="AK104" s="181"/>
      <c r="AL104" s="181"/>
      <c r="AM104" s="181"/>
      <c r="AN104" s="181"/>
      <c r="AO104" s="181"/>
      <c r="AP104" s="181"/>
      <c r="AQ104" s="181"/>
    </row>
    <row r="105" spans="1:43">
      <c r="A105" s="186"/>
      <c r="B105" s="186"/>
      <c r="C105" s="186"/>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1"/>
      <c r="AB105" s="181"/>
      <c r="AC105" s="181"/>
      <c r="AD105" s="181"/>
      <c r="AE105" s="181"/>
      <c r="AF105" s="181"/>
      <c r="AG105" s="181"/>
      <c r="AH105" s="181"/>
      <c r="AI105" s="181"/>
      <c r="AJ105" s="181"/>
      <c r="AK105" s="181"/>
      <c r="AL105" s="181"/>
      <c r="AM105" s="181"/>
      <c r="AN105" s="181"/>
      <c r="AO105" s="181"/>
      <c r="AP105" s="181"/>
      <c r="AQ105" s="181"/>
    </row>
    <row r="106" spans="1:43">
      <c r="A106" s="186"/>
      <c r="B106" s="186"/>
      <c r="C106" s="186"/>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1"/>
      <c r="AB106" s="181"/>
      <c r="AC106" s="181"/>
      <c r="AD106" s="181"/>
      <c r="AE106" s="181"/>
      <c r="AF106" s="181"/>
      <c r="AG106" s="181"/>
      <c r="AH106" s="181"/>
      <c r="AI106" s="181"/>
      <c r="AJ106" s="181"/>
      <c r="AK106" s="181"/>
      <c r="AL106" s="181"/>
      <c r="AM106" s="181"/>
      <c r="AN106" s="181"/>
      <c r="AO106" s="181"/>
      <c r="AP106" s="181"/>
      <c r="AQ106" s="181"/>
    </row>
    <row r="107" spans="1:43">
      <c r="A107" s="186"/>
      <c r="B107" s="186"/>
      <c r="C107" s="186"/>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1"/>
      <c r="AB107" s="181"/>
      <c r="AC107" s="181"/>
      <c r="AD107" s="181"/>
      <c r="AE107" s="181"/>
      <c r="AF107" s="181"/>
      <c r="AG107" s="181"/>
      <c r="AH107" s="181"/>
      <c r="AI107" s="181"/>
      <c r="AJ107" s="181"/>
      <c r="AK107" s="181"/>
      <c r="AL107" s="181"/>
      <c r="AM107" s="181"/>
      <c r="AN107" s="181"/>
      <c r="AO107" s="181"/>
      <c r="AP107" s="181"/>
      <c r="AQ107" s="181"/>
    </row>
    <row r="108" spans="1:43">
      <c r="A108" s="186"/>
      <c r="B108" s="186"/>
      <c r="C108" s="186"/>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1"/>
      <c r="AB108" s="181"/>
      <c r="AC108" s="181"/>
      <c r="AD108" s="181"/>
      <c r="AE108" s="181"/>
      <c r="AF108" s="181"/>
      <c r="AG108" s="181"/>
      <c r="AH108" s="181"/>
      <c r="AI108" s="181"/>
      <c r="AJ108" s="181"/>
      <c r="AK108" s="181"/>
      <c r="AL108" s="181"/>
      <c r="AM108" s="181"/>
      <c r="AN108" s="181"/>
      <c r="AO108" s="181"/>
      <c r="AP108" s="181"/>
      <c r="AQ108" s="181"/>
    </row>
    <row r="109" spans="1:43">
      <c r="A109" s="186"/>
      <c r="B109" s="186"/>
      <c r="C109" s="186"/>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1"/>
      <c r="AB109" s="181"/>
      <c r="AC109" s="181"/>
      <c r="AD109" s="181"/>
      <c r="AE109" s="181"/>
      <c r="AF109" s="181"/>
      <c r="AG109" s="181"/>
      <c r="AH109" s="181"/>
      <c r="AI109" s="181"/>
      <c r="AJ109" s="181"/>
      <c r="AK109" s="181"/>
      <c r="AL109" s="181"/>
      <c r="AM109" s="181"/>
      <c r="AN109" s="181"/>
      <c r="AO109" s="181"/>
      <c r="AP109" s="181"/>
      <c r="AQ109" s="181"/>
    </row>
    <row r="110" spans="1:43">
      <c r="A110" s="186"/>
      <c r="B110" s="186"/>
      <c r="C110" s="186"/>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1"/>
      <c r="AB110" s="181"/>
      <c r="AC110" s="181"/>
      <c r="AD110" s="181"/>
      <c r="AE110" s="181"/>
      <c r="AF110" s="181"/>
      <c r="AG110" s="181"/>
      <c r="AH110" s="181"/>
      <c r="AI110" s="181"/>
      <c r="AJ110" s="181"/>
      <c r="AK110" s="181"/>
      <c r="AL110" s="181"/>
      <c r="AM110" s="181"/>
      <c r="AN110" s="181"/>
      <c r="AO110" s="181"/>
      <c r="AP110" s="181"/>
      <c r="AQ110" s="181"/>
    </row>
    <row r="111" spans="1:43">
      <c r="A111" s="186"/>
      <c r="B111" s="186"/>
      <c r="C111" s="186"/>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1"/>
      <c r="AB111" s="181"/>
      <c r="AC111" s="181"/>
      <c r="AD111" s="181"/>
      <c r="AE111" s="181"/>
      <c r="AF111" s="181"/>
      <c r="AG111" s="181"/>
      <c r="AH111" s="181"/>
      <c r="AI111" s="181"/>
      <c r="AJ111" s="181"/>
      <c r="AK111" s="181"/>
      <c r="AL111" s="181"/>
      <c r="AM111" s="181"/>
      <c r="AN111" s="181"/>
      <c r="AO111" s="181"/>
      <c r="AP111" s="181"/>
      <c r="AQ111" s="181"/>
    </row>
    <row r="112" spans="1:43">
      <c r="A112" s="186"/>
      <c r="B112" s="186"/>
      <c r="C112" s="186"/>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1"/>
      <c r="AB112" s="181"/>
      <c r="AC112" s="181"/>
      <c r="AD112" s="181"/>
      <c r="AE112" s="181"/>
      <c r="AF112" s="181"/>
      <c r="AG112" s="181"/>
      <c r="AH112" s="181"/>
      <c r="AI112" s="181"/>
      <c r="AJ112" s="181"/>
      <c r="AK112" s="181"/>
      <c r="AL112" s="181"/>
      <c r="AM112" s="181"/>
      <c r="AN112" s="181"/>
      <c r="AO112" s="181"/>
      <c r="AP112" s="181"/>
      <c r="AQ112" s="181"/>
    </row>
    <row r="113" spans="1:43">
      <c r="A113" s="186"/>
      <c r="B113" s="186"/>
      <c r="C113" s="186"/>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1"/>
      <c r="AB113" s="181"/>
      <c r="AC113" s="181"/>
      <c r="AD113" s="181"/>
      <c r="AE113" s="181"/>
      <c r="AF113" s="181"/>
      <c r="AG113" s="181"/>
      <c r="AH113" s="181"/>
      <c r="AI113" s="181"/>
      <c r="AJ113" s="181"/>
      <c r="AK113" s="181"/>
      <c r="AL113" s="181"/>
      <c r="AM113" s="181"/>
      <c r="AN113" s="181"/>
      <c r="AO113" s="181"/>
      <c r="AP113" s="181"/>
      <c r="AQ113" s="181"/>
    </row>
    <row r="114" spans="1:43">
      <c r="A114" s="186"/>
      <c r="B114" s="186"/>
      <c r="C114" s="186"/>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1"/>
      <c r="AB114" s="181"/>
      <c r="AC114" s="181"/>
      <c r="AD114" s="181"/>
      <c r="AE114" s="181"/>
      <c r="AF114" s="181"/>
      <c r="AG114" s="181"/>
      <c r="AH114" s="181"/>
      <c r="AI114" s="181"/>
      <c r="AJ114" s="181"/>
      <c r="AK114" s="181"/>
      <c r="AL114" s="181"/>
      <c r="AM114" s="181"/>
      <c r="AN114" s="181"/>
      <c r="AO114" s="181"/>
      <c r="AP114" s="181"/>
      <c r="AQ114" s="181"/>
    </row>
    <row r="115" spans="1:43">
      <c r="A115" s="186"/>
      <c r="B115" s="186"/>
      <c r="C115" s="186"/>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1"/>
      <c r="AB115" s="181"/>
      <c r="AC115" s="181"/>
      <c r="AD115" s="181"/>
      <c r="AE115" s="181"/>
      <c r="AF115" s="181"/>
      <c r="AG115" s="181"/>
      <c r="AH115" s="181"/>
      <c r="AI115" s="181"/>
      <c r="AJ115" s="181"/>
      <c r="AK115" s="181"/>
      <c r="AL115" s="181"/>
      <c r="AM115" s="181"/>
      <c r="AN115" s="181"/>
      <c r="AO115" s="181"/>
      <c r="AP115" s="181"/>
      <c r="AQ115" s="181"/>
    </row>
    <row r="116" spans="1:43">
      <c r="A116" s="186"/>
      <c r="B116" s="186"/>
      <c r="C116" s="186"/>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1"/>
      <c r="AB116" s="181"/>
      <c r="AC116" s="181"/>
      <c r="AD116" s="181"/>
      <c r="AE116" s="181"/>
      <c r="AF116" s="181"/>
      <c r="AG116" s="181"/>
      <c r="AH116" s="181"/>
      <c r="AI116" s="181"/>
      <c r="AJ116" s="181"/>
      <c r="AK116" s="181"/>
      <c r="AL116" s="181"/>
      <c r="AM116" s="181"/>
      <c r="AN116" s="181"/>
      <c r="AO116" s="181"/>
      <c r="AP116" s="181"/>
      <c r="AQ116" s="181"/>
    </row>
    <row r="117" spans="1:43">
      <c r="A117" s="186"/>
      <c r="B117" s="186"/>
      <c r="C117" s="186"/>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1"/>
      <c r="AB117" s="181"/>
      <c r="AC117" s="181"/>
      <c r="AD117" s="181"/>
      <c r="AE117" s="181"/>
      <c r="AF117" s="181"/>
      <c r="AG117" s="181"/>
      <c r="AH117" s="181"/>
      <c r="AI117" s="181"/>
      <c r="AJ117" s="181"/>
      <c r="AK117" s="181"/>
      <c r="AL117" s="181"/>
      <c r="AM117" s="181"/>
      <c r="AN117" s="181"/>
      <c r="AO117" s="181"/>
      <c r="AP117" s="181"/>
      <c r="AQ117" s="181"/>
    </row>
    <row r="118" spans="1:43">
      <c r="A118" s="186"/>
      <c r="B118" s="186"/>
      <c r="C118" s="186"/>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1"/>
      <c r="AB118" s="181"/>
      <c r="AC118" s="181"/>
      <c r="AD118" s="181"/>
      <c r="AE118" s="181"/>
      <c r="AF118" s="181"/>
      <c r="AG118" s="181"/>
      <c r="AH118" s="181"/>
      <c r="AI118" s="181"/>
      <c r="AJ118" s="181"/>
      <c r="AK118" s="181"/>
      <c r="AL118" s="181"/>
      <c r="AM118" s="181"/>
      <c r="AN118" s="181"/>
      <c r="AO118" s="181"/>
      <c r="AP118" s="181"/>
      <c r="AQ118" s="181"/>
    </row>
    <row r="119" spans="1:43">
      <c r="A119" s="186"/>
      <c r="B119" s="186"/>
      <c r="C119" s="186"/>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1"/>
      <c r="AB119" s="181"/>
      <c r="AC119" s="181"/>
      <c r="AD119" s="181"/>
      <c r="AE119" s="181"/>
      <c r="AF119" s="181"/>
      <c r="AG119" s="181"/>
      <c r="AH119" s="181"/>
      <c r="AI119" s="181"/>
      <c r="AJ119" s="181"/>
      <c r="AK119" s="181"/>
      <c r="AL119" s="181"/>
      <c r="AM119" s="181"/>
      <c r="AN119" s="181"/>
      <c r="AO119" s="181"/>
      <c r="AP119" s="181"/>
      <c r="AQ119" s="181"/>
    </row>
    <row r="120" spans="1:43">
      <c r="A120" s="186"/>
      <c r="B120" s="186"/>
      <c r="C120" s="186"/>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1"/>
      <c r="AB120" s="181"/>
      <c r="AC120" s="181"/>
      <c r="AD120" s="181"/>
      <c r="AE120" s="181"/>
      <c r="AF120" s="181"/>
      <c r="AG120" s="181"/>
      <c r="AH120" s="181"/>
      <c r="AI120" s="181"/>
      <c r="AJ120" s="181"/>
      <c r="AK120" s="181"/>
      <c r="AL120" s="181"/>
      <c r="AM120" s="181"/>
      <c r="AN120" s="181"/>
      <c r="AO120" s="181"/>
      <c r="AP120" s="181"/>
      <c r="AQ120" s="181"/>
    </row>
    <row r="121" spans="1:43">
      <c r="A121" s="186"/>
      <c r="B121" s="186"/>
      <c r="C121" s="186"/>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1"/>
      <c r="AB121" s="181"/>
      <c r="AC121" s="181"/>
      <c r="AD121" s="181"/>
      <c r="AE121" s="181"/>
      <c r="AF121" s="181"/>
      <c r="AG121" s="181"/>
      <c r="AH121" s="181"/>
      <c r="AI121" s="181"/>
      <c r="AJ121" s="181"/>
      <c r="AK121" s="181"/>
      <c r="AL121" s="181"/>
      <c r="AM121" s="181"/>
      <c r="AN121" s="181"/>
      <c r="AO121" s="181"/>
      <c r="AP121" s="181"/>
      <c r="AQ121" s="181"/>
    </row>
    <row r="122" spans="1:43">
      <c r="A122" s="186"/>
      <c r="B122" s="186"/>
      <c r="C122" s="186"/>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1"/>
      <c r="AB122" s="181"/>
      <c r="AC122" s="181"/>
      <c r="AD122" s="181"/>
      <c r="AE122" s="181"/>
      <c r="AF122" s="181"/>
      <c r="AG122" s="181"/>
      <c r="AH122" s="181"/>
      <c r="AI122" s="181"/>
      <c r="AJ122" s="181"/>
      <c r="AK122" s="181"/>
      <c r="AL122" s="181"/>
      <c r="AM122" s="181"/>
      <c r="AN122" s="181"/>
      <c r="AO122" s="181"/>
      <c r="AP122" s="181"/>
      <c r="AQ122" s="181"/>
    </row>
    <row r="123" spans="1:43">
      <c r="A123" s="186"/>
      <c r="B123" s="186"/>
      <c r="C123" s="186"/>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1"/>
      <c r="AB123" s="181"/>
      <c r="AC123" s="181"/>
      <c r="AD123" s="181"/>
      <c r="AE123" s="181"/>
      <c r="AF123" s="181"/>
      <c r="AG123" s="181"/>
      <c r="AH123" s="181"/>
      <c r="AI123" s="181"/>
      <c r="AJ123" s="181"/>
      <c r="AK123" s="181"/>
      <c r="AL123" s="181"/>
      <c r="AM123" s="181"/>
      <c r="AN123" s="181"/>
      <c r="AO123" s="181"/>
      <c r="AP123" s="181"/>
      <c r="AQ123" s="181"/>
    </row>
    <row r="124" spans="1:43">
      <c r="A124" s="186"/>
      <c r="B124" s="186"/>
      <c r="C124" s="186"/>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1"/>
      <c r="AB124" s="181"/>
      <c r="AC124" s="181"/>
      <c r="AD124" s="181"/>
      <c r="AE124" s="181"/>
      <c r="AF124" s="181"/>
      <c r="AG124" s="181"/>
      <c r="AH124" s="181"/>
      <c r="AI124" s="181"/>
      <c r="AJ124" s="181"/>
      <c r="AK124" s="181"/>
      <c r="AL124" s="181"/>
      <c r="AM124" s="181"/>
      <c r="AN124" s="181"/>
      <c r="AO124" s="181"/>
      <c r="AP124" s="181"/>
      <c r="AQ124" s="181"/>
    </row>
    <row r="125" spans="1:43">
      <c r="A125" s="186"/>
      <c r="B125" s="186"/>
      <c r="C125" s="186"/>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1"/>
      <c r="AB125" s="181"/>
      <c r="AC125" s="181"/>
      <c r="AD125" s="181"/>
      <c r="AE125" s="181"/>
      <c r="AF125" s="181"/>
      <c r="AG125" s="181"/>
      <c r="AH125" s="181"/>
      <c r="AI125" s="181"/>
      <c r="AJ125" s="181"/>
      <c r="AK125" s="181"/>
      <c r="AL125" s="181"/>
      <c r="AM125" s="181"/>
      <c r="AN125" s="181"/>
      <c r="AO125" s="181"/>
      <c r="AP125" s="181"/>
      <c r="AQ125" s="181"/>
    </row>
    <row r="126" spans="1:43">
      <c r="A126" s="186"/>
      <c r="B126" s="186"/>
      <c r="C126" s="186"/>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1"/>
      <c r="AB126" s="181"/>
      <c r="AC126" s="181"/>
      <c r="AD126" s="181"/>
      <c r="AE126" s="181"/>
      <c r="AF126" s="181"/>
      <c r="AG126" s="181"/>
      <c r="AH126" s="181"/>
      <c r="AI126" s="181"/>
      <c r="AJ126" s="181"/>
      <c r="AK126" s="181"/>
      <c r="AL126" s="181"/>
      <c r="AM126" s="181"/>
      <c r="AN126" s="181"/>
      <c r="AO126" s="181"/>
      <c r="AP126" s="181"/>
      <c r="AQ126" s="181"/>
    </row>
    <row r="127" spans="1:43">
      <c r="A127" s="186"/>
      <c r="B127" s="186"/>
      <c r="C127" s="186"/>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1"/>
      <c r="AB127" s="181"/>
      <c r="AC127" s="181"/>
      <c r="AD127" s="181"/>
      <c r="AE127" s="181"/>
      <c r="AF127" s="181"/>
      <c r="AG127" s="181"/>
      <c r="AH127" s="181"/>
      <c r="AI127" s="181"/>
      <c r="AJ127" s="181"/>
      <c r="AK127" s="181"/>
      <c r="AL127" s="181"/>
      <c r="AM127" s="181"/>
      <c r="AN127" s="181"/>
      <c r="AO127" s="181"/>
      <c r="AP127" s="181"/>
      <c r="AQ127" s="181"/>
    </row>
    <row r="128" spans="1:43">
      <c r="A128" s="186"/>
      <c r="B128" s="186"/>
      <c r="C128" s="186"/>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1"/>
      <c r="AB128" s="181"/>
      <c r="AC128" s="181"/>
      <c r="AD128" s="181"/>
      <c r="AE128" s="181"/>
      <c r="AF128" s="181"/>
      <c r="AG128" s="181"/>
      <c r="AH128" s="181"/>
      <c r="AI128" s="181"/>
      <c r="AJ128" s="181"/>
      <c r="AK128" s="181"/>
      <c r="AL128" s="181"/>
      <c r="AM128" s="181"/>
      <c r="AN128" s="181"/>
      <c r="AO128" s="181"/>
      <c r="AP128" s="181"/>
      <c r="AQ128" s="181"/>
    </row>
    <row r="129" spans="1:43">
      <c r="A129" s="186"/>
      <c r="B129" s="186"/>
      <c r="C129" s="186"/>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1"/>
      <c r="AB129" s="181"/>
      <c r="AC129" s="181"/>
      <c r="AD129" s="181"/>
      <c r="AE129" s="181"/>
      <c r="AF129" s="181"/>
      <c r="AG129" s="181"/>
      <c r="AH129" s="181"/>
      <c r="AI129" s="181"/>
      <c r="AJ129" s="181"/>
      <c r="AK129" s="181"/>
      <c r="AL129" s="181"/>
      <c r="AM129" s="181"/>
      <c r="AN129" s="181"/>
      <c r="AO129" s="181"/>
      <c r="AP129" s="181"/>
      <c r="AQ129" s="181"/>
    </row>
    <row r="130" spans="1:43">
      <c r="A130" s="186"/>
      <c r="B130" s="186"/>
      <c r="C130" s="186"/>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1"/>
      <c r="AB130" s="181"/>
      <c r="AC130" s="181"/>
      <c r="AD130" s="181"/>
      <c r="AE130" s="181"/>
      <c r="AF130" s="181"/>
      <c r="AG130" s="181"/>
      <c r="AH130" s="181"/>
      <c r="AI130" s="181"/>
      <c r="AJ130" s="181"/>
      <c r="AK130" s="181"/>
      <c r="AL130" s="181"/>
      <c r="AM130" s="181"/>
      <c r="AN130" s="181"/>
      <c r="AO130" s="181"/>
      <c r="AP130" s="181"/>
      <c r="AQ130" s="181"/>
    </row>
    <row r="131" spans="1:43">
      <c r="A131" s="186"/>
      <c r="B131" s="186"/>
      <c r="C131" s="186"/>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1"/>
      <c r="AB131" s="181"/>
      <c r="AC131" s="181"/>
      <c r="AD131" s="181"/>
      <c r="AE131" s="181"/>
      <c r="AF131" s="181"/>
      <c r="AG131" s="181"/>
      <c r="AH131" s="181"/>
      <c r="AI131" s="181"/>
      <c r="AJ131" s="181"/>
      <c r="AK131" s="181"/>
      <c r="AL131" s="181"/>
      <c r="AM131" s="181"/>
      <c r="AN131" s="181"/>
      <c r="AO131" s="181"/>
      <c r="AP131" s="181"/>
      <c r="AQ131" s="181"/>
    </row>
    <row r="132" spans="1:43">
      <c r="A132" s="186"/>
      <c r="B132" s="186"/>
      <c r="C132" s="186"/>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1"/>
      <c r="AB132" s="181"/>
      <c r="AC132" s="181"/>
      <c r="AD132" s="181"/>
      <c r="AE132" s="181"/>
      <c r="AF132" s="181"/>
      <c r="AG132" s="181"/>
      <c r="AH132" s="181"/>
      <c r="AI132" s="181"/>
      <c r="AJ132" s="181"/>
      <c r="AK132" s="181"/>
      <c r="AL132" s="181"/>
      <c r="AM132" s="181"/>
      <c r="AN132" s="181"/>
      <c r="AO132" s="181"/>
      <c r="AP132" s="181"/>
      <c r="AQ132" s="181"/>
    </row>
    <row r="133" spans="1:43">
      <c r="A133" s="186"/>
      <c r="B133" s="186"/>
      <c r="C133" s="186"/>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1"/>
      <c r="AB133" s="181"/>
      <c r="AC133" s="181"/>
      <c r="AD133" s="181"/>
      <c r="AE133" s="181"/>
      <c r="AF133" s="181"/>
      <c r="AG133" s="181"/>
      <c r="AH133" s="181"/>
      <c r="AI133" s="181"/>
      <c r="AJ133" s="181"/>
      <c r="AK133" s="181"/>
      <c r="AL133" s="181"/>
      <c r="AM133" s="181"/>
      <c r="AN133" s="181"/>
      <c r="AO133" s="181"/>
      <c r="AP133" s="181"/>
      <c r="AQ133" s="181"/>
    </row>
    <row r="134" spans="1:43">
      <c r="A134" s="186"/>
      <c r="B134" s="186"/>
      <c r="C134" s="186"/>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1"/>
      <c r="AB134" s="181"/>
      <c r="AC134" s="181"/>
      <c r="AD134" s="181"/>
      <c r="AE134" s="181"/>
      <c r="AF134" s="181"/>
      <c r="AG134" s="181"/>
      <c r="AH134" s="181"/>
      <c r="AI134" s="181"/>
      <c r="AJ134" s="181"/>
      <c r="AK134" s="181"/>
      <c r="AL134" s="181"/>
      <c r="AM134" s="181"/>
      <c r="AN134" s="181"/>
      <c r="AO134" s="181"/>
      <c r="AP134" s="181"/>
      <c r="AQ134" s="181"/>
    </row>
    <row r="135" spans="1:43">
      <c r="A135" s="186"/>
      <c r="B135" s="186"/>
      <c r="C135" s="186"/>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1"/>
      <c r="AB135" s="181"/>
      <c r="AC135" s="181"/>
      <c r="AD135" s="181"/>
      <c r="AE135" s="181"/>
      <c r="AF135" s="181"/>
      <c r="AG135" s="181"/>
      <c r="AH135" s="181"/>
      <c r="AI135" s="181"/>
      <c r="AJ135" s="181"/>
      <c r="AK135" s="181"/>
      <c r="AL135" s="181"/>
      <c r="AM135" s="181"/>
      <c r="AN135" s="181"/>
      <c r="AO135" s="181"/>
      <c r="AP135" s="181"/>
      <c r="AQ135" s="181"/>
    </row>
    <row r="136" spans="1:43">
      <c r="A136" s="186"/>
      <c r="B136" s="186"/>
      <c r="C136" s="186"/>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1"/>
      <c r="AB136" s="181"/>
      <c r="AC136" s="181"/>
      <c r="AD136" s="181"/>
      <c r="AE136" s="181"/>
      <c r="AF136" s="181"/>
      <c r="AG136" s="181"/>
      <c r="AH136" s="181"/>
      <c r="AI136" s="181"/>
      <c r="AJ136" s="181"/>
      <c r="AK136" s="181"/>
      <c r="AL136" s="181"/>
      <c r="AM136" s="181"/>
      <c r="AN136" s="181"/>
      <c r="AO136" s="181"/>
      <c r="AP136" s="181"/>
      <c r="AQ136" s="181"/>
    </row>
    <row r="137" spans="1:43">
      <c r="A137" s="186"/>
      <c r="B137" s="186"/>
      <c r="C137" s="186"/>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1"/>
      <c r="AB137" s="181"/>
      <c r="AC137" s="181"/>
      <c r="AD137" s="181"/>
      <c r="AE137" s="181"/>
      <c r="AF137" s="181"/>
      <c r="AG137" s="181"/>
      <c r="AH137" s="181"/>
      <c r="AI137" s="181"/>
      <c r="AJ137" s="181"/>
      <c r="AK137" s="181"/>
      <c r="AL137" s="181"/>
      <c r="AM137" s="181"/>
      <c r="AN137" s="181"/>
      <c r="AO137" s="181"/>
      <c r="AP137" s="181"/>
      <c r="AQ137" s="181"/>
    </row>
    <row r="138" spans="1:43">
      <c r="A138" s="186"/>
      <c r="B138" s="186"/>
      <c r="C138" s="186"/>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1"/>
      <c r="AB138" s="181"/>
      <c r="AC138" s="181"/>
      <c r="AD138" s="181"/>
      <c r="AE138" s="181"/>
      <c r="AF138" s="181"/>
      <c r="AG138" s="181"/>
      <c r="AH138" s="181"/>
      <c r="AI138" s="181"/>
      <c r="AJ138" s="181"/>
      <c r="AK138" s="181"/>
      <c r="AL138" s="181"/>
      <c r="AM138" s="181"/>
      <c r="AN138" s="181"/>
      <c r="AO138" s="181"/>
      <c r="AP138" s="181"/>
      <c r="AQ138" s="181"/>
    </row>
    <row r="139" spans="1:43">
      <c r="A139" s="186"/>
      <c r="B139" s="186"/>
      <c r="C139" s="186"/>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1"/>
      <c r="AB139" s="181"/>
      <c r="AC139" s="181"/>
      <c r="AD139" s="181"/>
      <c r="AE139" s="181"/>
      <c r="AF139" s="181"/>
      <c r="AG139" s="181"/>
      <c r="AH139" s="181"/>
      <c r="AI139" s="181"/>
      <c r="AJ139" s="181"/>
      <c r="AK139" s="181"/>
      <c r="AL139" s="181"/>
      <c r="AM139" s="181"/>
      <c r="AN139" s="181"/>
      <c r="AO139" s="181"/>
      <c r="AP139" s="181"/>
      <c r="AQ139" s="181"/>
    </row>
    <row r="140" spans="1:43">
      <c r="A140" s="186"/>
      <c r="B140" s="186"/>
      <c r="C140" s="186"/>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1"/>
      <c r="AB140" s="181"/>
      <c r="AC140" s="181"/>
      <c r="AD140" s="181"/>
      <c r="AE140" s="181"/>
      <c r="AF140" s="181"/>
      <c r="AG140" s="181"/>
      <c r="AH140" s="181"/>
      <c r="AI140" s="181"/>
      <c r="AJ140" s="181"/>
      <c r="AK140" s="181"/>
      <c r="AL140" s="181"/>
      <c r="AM140" s="181"/>
      <c r="AN140" s="181"/>
      <c r="AO140" s="181"/>
      <c r="AP140" s="181"/>
      <c r="AQ140" s="181"/>
    </row>
    <row r="141" spans="1:43">
      <c r="A141" s="186"/>
      <c r="B141" s="186"/>
      <c r="C141" s="186"/>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1"/>
      <c r="AB141" s="181"/>
      <c r="AC141" s="181"/>
      <c r="AD141" s="181"/>
      <c r="AE141" s="181"/>
      <c r="AF141" s="181"/>
      <c r="AG141" s="181"/>
      <c r="AH141" s="181"/>
      <c r="AI141" s="181"/>
      <c r="AJ141" s="181"/>
      <c r="AK141" s="181"/>
      <c r="AL141" s="181"/>
      <c r="AM141" s="181"/>
      <c r="AN141" s="181"/>
      <c r="AO141" s="181"/>
      <c r="AP141" s="181"/>
      <c r="AQ141" s="181"/>
    </row>
    <row r="142" spans="1:43">
      <c r="A142" s="186"/>
      <c r="B142" s="186"/>
      <c r="C142" s="186"/>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1"/>
      <c r="AB142" s="181"/>
      <c r="AC142" s="181"/>
      <c r="AD142" s="181"/>
      <c r="AE142" s="181"/>
      <c r="AF142" s="181"/>
      <c r="AG142" s="181"/>
      <c r="AH142" s="181"/>
      <c r="AI142" s="181"/>
      <c r="AJ142" s="181"/>
      <c r="AK142" s="181"/>
      <c r="AL142" s="181"/>
      <c r="AM142" s="181"/>
      <c r="AN142" s="181"/>
      <c r="AO142" s="181"/>
      <c r="AP142" s="181"/>
      <c r="AQ142" s="181"/>
    </row>
    <row r="143" spans="1:43">
      <c r="A143" s="186"/>
      <c r="B143" s="186"/>
      <c r="C143" s="186"/>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1"/>
      <c r="AB143" s="181"/>
      <c r="AC143" s="181"/>
      <c r="AD143" s="181"/>
      <c r="AE143" s="181"/>
      <c r="AF143" s="181"/>
      <c r="AG143" s="181"/>
      <c r="AH143" s="181"/>
      <c r="AI143" s="181"/>
      <c r="AJ143" s="181"/>
      <c r="AK143" s="181"/>
      <c r="AL143" s="181"/>
      <c r="AM143" s="181"/>
      <c r="AN143" s="181"/>
      <c r="AO143" s="181"/>
      <c r="AP143" s="181"/>
      <c r="AQ143" s="181"/>
    </row>
    <row r="144" spans="1:43">
      <c r="A144" s="186"/>
      <c r="B144" s="186"/>
      <c r="C144" s="186"/>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1"/>
      <c r="AB144" s="181"/>
      <c r="AC144" s="181"/>
      <c r="AD144" s="181"/>
      <c r="AE144" s="181"/>
      <c r="AF144" s="181"/>
      <c r="AG144" s="181"/>
      <c r="AH144" s="181"/>
      <c r="AI144" s="181"/>
      <c r="AJ144" s="181"/>
      <c r="AK144" s="181"/>
      <c r="AL144" s="181"/>
      <c r="AM144" s="181"/>
      <c r="AN144" s="181"/>
      <c r="AO144" s="181"/>
      <c r="AP144" s="181"/>
      <c r="AQ144" s="181"/>
    </row>
    <row r="145" spans="1:43">
      <c r="A145" s="186"/>
      <c r="B145" s="186"/>
      <c r="C145" s="186"/>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1"/>
      <c r="AB145" s="181"/>
      <c r="AC145" s="181"/>
      <c r="AD145" s="181"/>
      <c r="AE145" s="181"/>
      <c r="AF145" s="181"/>
      <c r="AG145" s="181"/>
      <c r="AH145" s="181"/>
      <c r="AI145" s="181"/>
      <c r="AJ145" s="181"/>
      <c r="AK145" s="181"/>
      <c r="AL145" s="181"/>
      <c r="AM145" s="181"/>
      <c r="AN145" s="181"/>
      <c r="AO145" s="181"/>
      <c r="AP145" s="181"/>
      <c r="AQ145" s="181"/>
    </row>
    <row r="146" spans="1:43">
      <c r="A146" s="186"/>
      <c r="B146" s="186"/>
      <c r="C146" s="186"/>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1"/>
      <c r="AB146" s="181"/>
      <c r="AC146" s="181"/>
      <c r="AD146" s="181"/>
      <c r="AE146" s="181"/>
      <c r="AF146" s="181"/>
      <c r="AG146" s="181"/>
      <c r="AH146" s="181"/>
      <c r="AI146" s="181"/>
      <c r="AJ146" s="181"/>
      <c r="AK146" s="181"/>
      <c r="AL146" s="181"/>
      <c r="AM146" s="181"/>
      <c r="AN146" s="181"/>
      <c r="AO146" s="181"/>
      <c r="AP146" s="181"/>
      <c r="AQ146" s="181"/>
    </row>
    <row r="147" spans="1:43">
      <c r="A147" s="186"/>
      <c r="B147" s="186"/>
      <c r="C147" s="186"/>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1"/>
      <c r="AB147" s="181"/>
      <c r="AC147" s="181"/>
      <c r="AD147" s="181"/>
      <c r="AE147" s="181"/>
      <c r="AF147" s="181"/>
      <c r="AG147" s="181"/>
      <c r="AH147" s="181"/>
      <c r="AI147" s="181"/>
      <c r="AJ147" s="181"/>
      <c r="AK147" s="181"/>
      <c r="AL147" s="181"/>
      <c r="AM147" s="181"/>
      <c r="AN147" s="181"/>
      <c r="AO147" s="181"/>
      <c r="AP147" s="181"/>
      <c r="AQ147" s="181"/>
    </row>
    <row r="148" spans="1:43">
      <c r="A148" s="186"/>
      <c r="B148" s="186"/>
      <c r="C148" s="186"/>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1"/>
      <c r="AB148" s="181"/>
      <c r="AC148" s="181"/>
      <c r="AD148" s="181"/>
      <c r="AE148" s="181"/>
      <c r="AF148" s="181"/>
      <c r="AG148" s="181"/>
      <c r="AH148" s="181"/>
      <c r="AI148" s="181"/>
      <c r="AJ148" s="181"/>
      <c r="AK148" s="181"/>
      <c r="AL148" s="181"/>
      <c r="AM148" s="181"/>
      <c r="AN148" s="181"/>
      <c r="AO148" s="181"/>
      <c r="AP148" s="181"/>
      <c r="AQ148" s="181"/>
    </row>
    <row r="149" spans="1:43">
      <c r="A149" s="186"/>
      <c r="B149" s="186"/>
      <c r="C149" s="186"/>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1"/>
      <c r="AB149" s="181"/>
      <c r="AC149" s="181"/>
      <c r="AD149" s="181"/>
      <c r="AE149" s="181"/>
      <c r="AF149" s="181"/>
      <c r="AG149" s="181"/>
      <c r="AH149" s="181"/>
      <c r="AI149" s="181"/>
      <c r="AJ149" s="181"/>
      <c r="AK149" s="181"/>
      <c r="AL149" s="181"/>
      <c r="AM149" s="181"/>
      <c r="AN149" s="181"/>
      <c r="AO149" s="181"/>
      <c r="AP149" s="181"/>
      <c r="AQ149" s="181"/>
    </row>
    <row r="150" spans="1:43">
      <c r="A150" s="186"/>
      <c r="B150" s="186"/>
      <c r="C150" s="186"/>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1"/>
      <c r="AB150" s="181"/>
      <c r="AC150" s="181"/>
      <c r="AD150" s="181"/>
      <c r="AE150" s="181"/>
      <c r="AF150" s="181"/>
      <c r="AG150" s="181"/>
      <c r="AH150" s="181"/>
      <c r="AI150" s="181"/>
      <c r="AJ150" s="181"/>
      <c r="AK150" s="181"/>
      <c r="AL150" s="181"/>
      <c r="AM150" s="181"/>
      <c r="AN150" s="181"/>
      <c r="AO150" s="181"/>
      <c r="AP150" s="181"/>
      <c r="AQ150" s="181"/>
    </row>
    <row r="151" spans="1:43">
      <c r="A151" s="186"/>
      <c r="B151" s="186"/>
      <c r="C151" s="186"/>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1"/>
      <c r="AB151" s="181"/>
      <c r="AC151" s="181"/>
      <c r="AD151" s="181"/>
      <c r="AE151" s="181"/>
      <c r="AF151" s="181"/>
      <c r="AG151" s="181"/>
      <c r="AH151" s="181"/>
      <c r="AI151" s="181"/>
      <c r="AJ151" s="181"/>
      <c r="AK151" s="181"/>
      <c r="AL151" s="181"/>
      <c r="AM151" s="181"/>
      <c r="AN151" s="181"/>
      <c r="AO151" s="181"/>
      <c r="AP151" s="181"/>
      <c r="AQ151" s="181"/>
    </row>
    <row r="152" spans="1:43">
      <c r="A152" s="186"/>
      <c r="B152" s="186"/>
      <c r="C152" s="186"/>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1"/>
      <c r="AB152" s="181"/>
      <c r="AC152" s="181"/>
      <c r="AD152" s="181"/>
      <c r="AE152" s="181"/>
      <c r="AF152" s="181"/>
      <c r="AG152" s="181"/>
      <c r="AH152" s="181"/>
      <c r="AI152" s="181"/>
      <c r="AJ152" s="181"/>
      <c r="AK152" s="181"/>
      <c r="AL152" s="181"/>
      <c r="AM152" s="181"/>
      <c r="AN152" s="181"/>
      <c r="AO152" s="181"/>
      <c r="AP152" s="181"/>
      <c r="AQ152" s="181"/>
    </row>
    <row r="153" spans="1:43">
      <c r="A153" s="186"/>
      <c r="B153" s="186"/>
      <c r="C153" s="186"/>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1"/>
      <c r="AB153" s="181"/>
      <c r="AC153" s="181"/>
      <c r="AD153" s="181"/>
      <c r="AE153" s="181"/>
      <c r="AF153" s="181"/>
      <c r="AG153" s="181"/>
      <c r="AH153" s="181"/>
      <c r="AI153" s="181"/>
      <c r="AJ153" s="181"/>
      <c r="AK153" s="181"/>
      <c r="AL153" s="181"/>
      <c r="AM153" s="181"/>
      <c r="AN153" s="181"/>
      <c r="AO153" s="181"/>
      <c r="AP153" s="181"/>
      <c r="AQ153" s="181"/>
    </row>
    <row r="154" spans="1:43">
      <c r="A154" s="186"/>
      <c r="B154" s="186"/>
      <c r="C154" s="186"/>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1"/>
      <c r="AB154" s="181"/>
      <c r="AC154" s="181"/>
      <c r="AD154" s="181"/>
      <c r="AE154" s="181"/>
      <c r="AF154" s="181"/>
      <c r="AG154" s="181"/>
      <c r="AH154" s="181"/>
      <c r="AI154" s="181"/>
      <c r="AJ154" s="181"/>
      <c r="AK154" s="181"/>
      <c r="AL154" s="181"/>
      <c r="AM154" s="181"/>
      <c r="AN154" s="181"/>
      <c r="AO154" s="181"/>
      <c r="AP154" s="181"/>
      <c r="AQ154" s="181"/>
    </row>
    <row r="155" spans="1:43">
      <c r="A155" s="186"/>
      <c r="B155" s="186"/>
      <c r="C155" s="186"/>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1"/>
      <c r="AB155" s="181"/>
      <c r="AC155" s="181"/>
      <c r="AD155" s="181"/>
      <c r="AE155" s="181"/>
      <c r="AF155" s="181"/>
      <c r="AG155" s="181"/>
      <c r="AH155" s="181"/>
      <c r="AI155" s="181"/>
      <c r="AJ155" s="181"/>
      <c r="AK155" s="181"/>
      <c r="AL155" s="181"/>
      <c r="AM155" s="181"/>
      <c r="AN155" s="181"/>
      <c r="AO155" s="181"/>
      <c r="AP155" s="181"/>
      <c r="AQ155" s="181"/>
    </row>
    <row r="156" spans="1:43">
      <c r="A156" s="186"/>
      <c r="B156" s="186"/>
      <c r="C156" s="186"/>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1"/>
      <c r="AB156" s="181"/>
      <c r="AC156" s="181"/>
      <c r="AD156" s="181"/>
      <c r="AE156" s="181"/>
      <c r="AF156" s="181"/>
      <c r="AG156" s="181"/>
      <c r="AH156" s="181"/>
      <c r="AI156" s="181"/>
      <c r="AJ156" s="181"/>
      <c r="AK156" s="181"/>
      <c r="AL156" s="181"/>
      <c r="AM156" s="181"/>
      <c r="AN156" s="181"/>
      <c r="AO156" s="181"/>
      <c r="AP156" s="181"/>
      <c r="AQ156" s="181"/>
    </row>
    <row r="157" spans="1:43">
      <c r="A157" s="186"/>
      <c r="B157" s="186"/>
      <c r="C157" s="186"/>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1"/>
      <c r="AB157" s="181"/>
      <c r="AC157" s="181"/>
      <c r="AD157" s="181"/>
      <c r="AE157" s="181"/>
      <c r="AF157" s="181"/>
      <c r="AG157" s="181"/>
      <c r="AH157" s="181"/>
      <c r="AI157" s="181"/>
      <c r="AJ157" s="181"/>
      <c r="AK157" s="181"/>
      <c r="AL157" s="181"/>
      <c r="AM157" s="181"/>
      <c r="AN157" s="181"/>
      <c r="AO157" s="181"/>
      <c r="AP157" s="181"/>
      <c r="AQ157" s="181"/>
    </row>
    <row r="158" spans="1:43">
      <c r="A158" s="186"/>
      <c r="B158" s="186"/>
      <c r="C158" s="186"/>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1"/>
      <c r="AB158" s="181"/>
      <c r="AC158" s="181"/>
      <c r="AD158" s="181"/>
      <c r="AE158" s="181"/>
      <c r="AF158" s="181"/>
      <c r="AG158" s="181"/>
      <c r="AH158" s="181"/>
      <c r="AI158" s="181"/>
      <c r="AJ158" s="181"/>
      <c r="AK158" s="181"/>
      <c r="AL158" s="181"/>
      <c r="AM158" s="181"/>
      <c r="AN158" s="181"/>
      <c r="AO158" s="181"/>
      <c r="AP158" s="181"/>
      <c r="AQ158" s="181"/>
    </row>
    <row r="159" spans="1:43">
      <c r="A159" s="186"/>
      <c r="B159" s="186"/>
      <c r="C159" s="186"/>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1"/>
      <c r="AB159" s="181"/>
      <c r="AC159" s="181"/>
      <c r="AD159" s="181"/>
      <c r="AE159" s="181"/>
      <c r="AF159" s="181"/>
      <c r="AG159" s="181"/>
      <c r="AH159" s="181"/>
      <c r="AI159" s="181"/>
      <c r="AJ159" s="181"/>
      <c r="AK159" s="181"/>
      <c r="AL159" s="181"/>
      <c r="AM159" s="181"/>
      <c r="AN159" s="181"/>
      <c r="AO159" s="181"/>
      <c r="AP159" s="181"/>
      <c r="AQ159" s="181"/>
    </row>
    <row r="160" spans="1:43">
      <c r="A160" s="186"/>
      <c r="B160" s="186"/>
      <c r="C160" s="186"/>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1"/>
      <c r="AB160" s="181"/>
      <c r="AC160" s="181"/>
      <c r="AD160" s="181"/>
      <c r="AE160" s="181"/>
      <c r="AF160" s="181"/>
      <c r="AG160" s="181"/>
      <c r="AH160" s="181"/>
      <c r="AI160" s="181"/>
      <c r="AJ160" s="181"/>
      <c r="AK160" s="181"/>
      <c r="AL160" s="181"/>
      <c r="AM160" s="181"/>
      <c r="AN160" s="181"/>
      <c r="AO160" s="181"/>
      <c r="AP160" s="181"/>
      <c r="AQ160" s="181"/>
    </row>
    <row r="161" spans="1:43">
      <c r="A161" s="186"/>
      <c r="B161" s="186"/>
      <c r="C161" s="186"/>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1"/>
      <c r="AB161" s="181"/>
      <c r="AC161" s="181"/>
      <c r="AD161" s="181"/>
      <c r="AE161" s="181"/>
      <c r="AF161" s="181"/>
      <c r="AG161" s="181"/>
      <c r="AH161" s="181"/>
      <c r="AI161" s="181"/>
      <c r="AJ161" s="181"/>
      <c r="AK161" s="181"/>
      <c r="AL161" s="181"/>
      <c r="AM161" s="181"/>
      <c r="AN161" s="181"/>
      <c r="AO161" s="181"/>
      <c r="AP161" s="181"/>
      <c r="AQ161" s="181"/>
    </row>
    <row r="162" spans="1:43">
      <c r="A162" s="186"/>
      <c r="B162" s="186"/>
      <c r="C162" s="186"/>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1"/>
      <c r="AB162" s="181"/>
      <c r="AC162" s="181"/>
      <c r="AD162" s="181"/>
      <c r="AE162" s="181"/>
      <c r="AF162" s="181"/>
      <c r="AG162" s="181"/>
      <c r="AH162" s="181"/>
      <c r="AI162" s="181"/>
      <c r="AJ162" s="181"/>
      <c r="AK162" s="181"/>
      <c r="AL162" s="181"/>
      <c r="AM162" s="181"/>
      <c r="AN162" s="181"/>
      <c r="AO162" s="181"/>
      <c r="AP162" s="181"/>
      <c r="AQ162" s="181"/>
    </row>
    <row r="163" spans="1:43">
      <c r="A163" s="186"/>
      <c r="B163" s="186"/>
      <c r="C163" s="186"/>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1"/>
      <c r="AB163" s="181"/>
      <c r="AC163" s="181"/>
      <c r="AD163" s="181"/>
      <c r="AE163" s="181"/>
      <c r="AF163" s="181"/>
      <c r="AG163" s="181"/>
      <c r="AH163" s="181"/>
      <c r="AI163" s="181"/>
      <c r="AJ163" s="181"/>
      <c r="AK163" s="181"/>
      <c r="AL163" s="181"/>
      <c r="AM163" s="181"/>
      <c r="AN163" s="181"/>
      <c r="AO163" s="181"/>
      <c r="AP163" s="181"/>
      <c r="AQ163" s="181"/>
    </row>
    <row r="164" spans="1:43">
      <c r="A164" s="186"/>
      <c r="B164" s="186"/>
      <c r="C164" s="186"/>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1"/>
      <c r="AB164" s="181"/>
      <c r="AC164" s="181"/>
      <c r="AD164" s="181"/>
      <c r="AE164" s="181"/>
      <c r="AF164" s="181"/>
      <c r="AG164" s="181"/>
      <c r="AH164" s="181"/>
      <c r="AI164" s="181"/>
      <c r="AJ164" s="181"/>
      <c r="AK164" s="181"/>
      <c r="AL164" s="181"/>
      <c r="AM164" s="181"/>
      <c r="AN164" s="181"/>
      <c r="AO164" s="181"/>
      <c r="AP164" s="181"/>
      <c r="AQ164" s="181"/>
    </row>
    <row r="165" spans="1:43">
      <c r="A165" s="186"/>
      <c r="B165" s="186"/>
      <c r="C165" s="186"/>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1"/>
      <c r="AB165" s="181"/>
      <c r="AC165" s="181"/>
      <c r="AD165" s="181"/>
      <c r="AE165" s="181"/>
      <c r="AF165" s="181"/>
      <c r="AG165" s="181"/>
      <c r="AH165" s="181"/>
      <c r="AI165" s="181"/>
      <c r="AJ165" s="181"/>
      <c r="AK165" s="181"/>
      <c r="AL165" s="181"/>
      <c r="AM165" s="181"/>
      <c r="AN165" s="181"/>
      <c r="AO165" s="181"/>
      <c r="AP165" s="181"/>
      <c r="AQ165" s="181"/>
    </row>
    <row r="166" spans="1:43">
      <c r="A166" s="186"/>
      <c r="B166" s="186"/>
      <c r="C166" s="186"/>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1"/>
      <c r="AB166" s="181"/>
      <c r="AC166" s="181"/>
      <c r="AD166" s="181"/>
      <c r="AE166" s="181"/>
      <c r="AF166" s="181"/>
      <c r="AG166" s="181"/>
      <c r="AH166" s="181"/>
      <c r="AI166" s="181"/>
      <c r="AJ166" s="181"/>
      <c r="AK166" s="181"/>
      <c r="AL166" s="181"/>
      <c r="AM166" s="181"/>
      <c r="AN166" s="181"/>
      <c r="AO166" s="181"/>
      <c r="AP166" s="181"/>
      <c r="AQ166" s="181"/>
    </row>
    <row r="167" spans="1:43">
      <c r="A167" s="186"/>
      <c r="B167" s="186"/>
      <c r="C167" s="186"/>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1"/>
      <c r="AB167" s="181"/>
      <c r="AC167" s="181"/>
      <c r="AD167" s="181"/>
      <c r="AE167" s="181"/>
      <c r="AF167" s="181"/>
      <c r="AG167" s="181"/>
      <c r="AH167" s="181"/>
      <c r="AI167" s="181"/>
      <c r="AJ167" s="181"/>
      <c r="AK167" s="181"/>
      <c r="AL167" s="181"/>
      <c r="AM167" s="181"/>
      <c r="AN167" s="181"/>
      <c r="AO167" s="181"/>
      <c r="AP167" s="181"/>
      <c r="AQ167" s="181"/>
    </row>
    <row r="168" spans="1:43">
      <c r="A168" s="186"/>
      <c r="B168" s="186"/>
      <c r="C168" s="186"/>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1"/>
      <c r="AB168" s="181"/>
      <c r="AC168" s="181"/>
      <c r="AD168" s="181"/>
      <c r="AE168" s="181"/>
      <c r="AF168" s="181"/>
      <c r="AG168" s="181"/>
      <c r="AH168" s="181"/>
      <c r="AI168" s="181"/>
      <c r="AJ168" s="181"/>
      <c r="AK168" s="181"/>
      <c r="AL168" s="181"/>
      <c r="AM168" s="181"/>
      <c r="AN168" s="181"/>
      <c r="AO168" s="181"/>
      <c r="AP168" s="181"/>
      <c r="AQ168" s="181"/>
    </row>
    <row r="169" spans="1:43">
      <c r="A169" s="186"/>
      <c r="B169" s="186"/>
      <c r="C169" s="186"/>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1"/>
      <c r="AB169" s="181"/>
      <c r="AC169" s="181"/>
      <c r="AD169" s="181"/>
      <c r="AE169" s="181"/>
      <c r="AF169" s="181"/>
      <c r="AG169" s="181"/>
      <c r="AH169" s="181"/>
      <c r="AI169" s="181"/>
      <c r="AJ169" s="181"/>
      <c r="AK169" s="181"/>
      <c r="AL169" s="181"/>
      <c r="AM169" s="181"/>
      <c r="AN169" s="181"/>
      <c r="AO169" s="181"/>
      <c r="AP169" s="181"/>
      <c r="AQ169" s="181"/>
    </row>
    <row r="170" spans="1:43">
      <c r="A170" s="186"/>
      <c r="B170" s="186"/>
      <c r="C170" s="186"/>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1"/>
      <c r="AB170" s="181"/>
      <c r="AC170" s="181"/>
      <c r="AD170" s="181"/>
      <c r="AE170" s="181"/>
      <c r="AF170" s="181"/>
      <c r="AG170" s="181"/>
      <c r="AH170" s="181"/>
      <c r="AI170" s="181"/>
      <c r="AJ170" s="181"/>
      <c r="AK170" s="181"/>
      <c r="AL170" s="181"/>
      <c r="AM170" s="181"/>
      <c r="AN170" s="181"/>
      <c r="AO170" s="181"/>
      <c r="AP170" s="181"/>
      <c r="AQ170" s="181"/>
    </row>
    <row r="171" spans="1:43">
      <c r="A171" s="186"/>
      <c r="B171" s="186"/>
      <c r="C171" s="186"/>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1"/>
      <c r="AB171" s="181"/>
      <c r="AC171" s="181"/>
      <c r="AD171" s="181"/>
      <c r="AE171" s="181"/>
      <c r="AF171" s="181"/>
      <c r="AG171" s="181"/>
      <c r="AH171" s="181"/>
      <c r="AI171" s="181"/>
      <c r="AJ171" s="181"/>
      <c r="AK171" s="181"/>
      <c r="AL171" s="181"/>
      <c r="AM171" s="181"/>
      <c r="AN171" s="181"/>
      <c r="AO171" s="181"/>
      <c r="AP171" s="181"/>
      <c r="AQ171" s="181"/>
    </row>
    <row r="172" spans="1:43">
      <c r="A172" s="186"/>
      <c r="B172" s="186"/>
      <c r="C172" s="186"/>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1"/>
      <c r="AB172" s="181"/>
      <c r="AC172" s="181"/>
      <c r="AD172" s="181"/>
      <c r="AE172" s="181"/>
      <c r="AF172" s="181"/>
      <c r="AG172" s="181"/>
      <c r="AH172" s="181"/>
      <c r="AI172" s="181"/>
      <c r="AJ172" s="181"/>
      <c r="AK172" s="181"/>
      <c r="AL172" s="181"/>
      <c r="AM172" s="181"/>
      <c r="AN172" s="181"/>
      <c r="AO172" s="181"/>
      <c r="AP172" s="181"/>
      <c r="AQ172" s="181"/>
    </row>
    <row r="173" spans="1:43">
      <c r="A173" s="186"/>
      <c r="B173" s="186"/>
      <c r="C173" s="186"/>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1"/>
      <c r="AB173" s="181"/>
      <c r="AC173" s="181"/>
      <c r="AD173" s="181"/>
      <c r="AE173" s="181"/>
      <c r="AF173" s="181"/>
      <c r="AG173" s="181"/>
      <c r="AH173" s="181"/>
      <c r="AI173" s="181"/>
      <c r="AJ173" s="181"/>
      <c r="AK173" s="181"/>
      <c r="AL173" s="181"/>
      <c r="AM173" s="181"/>
      <c r="AN173" s="181"/>
      <c r="AO173" s="181"/>
      <c r="AP173" s="181"/>
      <c r="AQ173" s="181"/>
    </row>
    <row r="174" spans="1:43">
      <c r="A174" s="186"/>
      <c r="B174" s="186"/>
      <c r="C174" s="186"/>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1"/>
      <c r="AB174" s="181"/>
      <c r="AC174" s="181"/>
      <c r="AD174" s="181"/>
      <c r="AE174" s="181"/>
      <c r="AF174" s="181"/>
      <c r="AG174" s="181"/>
      <c r="AH174" s="181"/>
      <c r="AI174" s="181"/>
      <c r="AJ174" s="181"/>
      <c r="AK174" s="181"/>
      <c r="AL174" s="181"/>
      <c r="AM174" s="181"/>
      <c r="AN174" s="181"/>
      <c r="AO174" s="181"/>
      <c r="AP174" s="181"/>
      <c r="AQ174" s="181"/>
    </row>
    <row r="175" spans="1:43">
      <c r="A175" s="186"/>
      <c r="B175" s="186"/>
      <c r="C175" s="186"/>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1"/>
      <c r="AB175" s="181"/>
      <c r="AC175" s="181"/>
      <c r="AD175" s="181"/>
      <c r="AE175" s="181"/>
      <c r="AF175" s="181"/>
      <c r="AG175" s="181"/>
      <c r="AH175" s="181"/>
      <c r="AI175" s="181"/>
      <c r="AJ175" s="181"/>
      <c r="AK175" s="181"/>
      <c r="AL175" s="181"/>
      <c r="AM175" s="181"/>
      <c r="AN175" s="181"/>
      <c r="AO175" s="181"/>
      <c r="AP175" s="181"/>
      <c r="AQ175" s="181"/>
    </row>
    <row r="176" spans="1:43">
      <c r="A176" s="186"/>
      <c r="B176" s="186"/>
      <c r="C176" s="186"/>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1"/>
      <c r="AB176" s="181"/>
      <c r="AC176" s="181"/>
      <c r="AD176" s="181"/>
      <c r="AE176" s="181"/>
      <c r="AF176" s="181"/>
      <c r="AG176" s="181"/>
      <c r="AH176" s="181"/>
      <c r="AI176" s="181"/>
      <c r="AJ176" s="181"/>
      <c r="AK176" s="181"/>
      <c r="AL176" s="181"/>
      <c r="AM176" s="181"/>
      <c r="AN176" s="181"/>
      <c r="AO176" s="181"/>
      <c r="AP176" s="181"/>
      <c r="AQ176" s="181"/>
    </row>
    <row r="177" spans="1:43">
      <c r="A177" s="186"/>
      <c r="B177" s="186"/>
      <c r="C177" s="186"/>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1"/>
      <c r="AB177" s="181"/>
      <c r="AC177" s="181"/>
      <c r="AD177" s="181"/>
      <c r="AE177" s="181"/>
      <c r="AF177" s="181"/>
      <c r="AG177" s="181"/>
      <c r="AH177" s="181"/>
      <c r="AI177" s="181"/>
      <c r="AJ177" s="181"/>
      <c r="AK177" s="181"/>
      <c r="AL177" s="181"/>
      <c r="AM177" s="181"/>
      <c r="AN177" s="181"/>
      <c r="AO177" s="181"/>
      <c r="AP177" s="181"/>
      <c r="AQ177" s="181"/>
    </row>
    <row r="178" spans="1:43">
      <c r="A178" s="186"/>
      <c r="B178" s="186"/>
      <c r="C178" s="186"/>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1"/>
      <c r="AB178" s="181"/>
      <c r="AC178" s="181"/>
      <c r="AD178" s="181"/>
      <c r="AE178" s="181"/>
      <c r="AF178" s="181"/>
      <c r="AG178" s="181"/>
      <c r="AH178" s="181"/>
      <c r="AI178" s="181"/>
      <c r="AJ178" s="181"/>
      <c r="AK178" s="181"/>
      <c r="AL178" s="181"/>
      <c r="AM178" s="181"/>
      <c r="AN178" s="181"/>
      <c r="AO178" s="181"/>
      <c r="AP178" s="181"/>
      <c r="AQ178" s="181"/>
    </row>
    <row r="179" spans="1:43">
      <c r="A179" s="186"/>
      <c r="B179" s="186"/>
      <c r="C179" s="186"/>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1"/>
      <c r="AB179" s="181"/>
      <c r="AC179" s="181"/>
      <c r="AD179" s="181"/>
      <c r="AE179" s="181"/>
      <c r="AF179" s="181"/>
      <c r="AG179" s="181"/>
      <c r="AH179" s="181"/>
      <c r="AI179" s="181"/>
      <c r="AJ179" s="181"/>
      <c r="AK179" s="181"/>
      <c r="AL179" s="181"/>
      <c r="AM179" s="181"/>
      <c r="AN179" s="181"/>
      <c r="AO179" s="181"/>
      <c r="AP179" s="181"/>
      <c r="AQ179" s="181"/>
    </row>
    <row r="180" spans="1:43">
      <c r="A180" s="186"/>
      <c r="B180" s="186"/>
      <c r="C180" s="186"/>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1"/>
      <c r="AB180" s="181"/>
      <c r="AC180" s="181"/>
      <c r="AD180" s="181"/>
      <c r="AE180" s="181"/>
      <c r="AF180" s="181"/>
      <c r="AG180" s="181"/>
      <c r="AH180" s="181"/>
      <c r="AI180" s="181"/>
      <c r="AJ180" s="181"/>
      <c r="AK180" s="181"/>
      <c r="AL180" s="181"/>
      <c r="AM180" s="181"/>
      <c r="AN180" s="181"/>
      <c r="AO180" s="181"/>
      <c r="AP180" s="181"/>
      <c r="AQ180" s="181"/>
    </row>
    <row r="181" spans="1:43">
      <c r="A181" s="186"/>
      <c r="B181" s="186"/>
      <c r="C181" s="186"/>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1"/>
      <c r="AB181" s="181"/>
      <c r="AC181" s="181"/>
      <c r="AD181" s="181"/>
      <c r="AE181" s="181"/>
      <c r="AF181" s="181"/>
      <c r="AG181" s="181"/>
      <c r="AH181" s="181"/>
      <c r="AI181" s="181"/>
      <c r="AJ181" s="181"/>
      <c r="AK181" s="181"/>
      <c r="AL181" s="181"/>
      <c r="AM181" s="181"/>
      <c r="AN181" s="181"/>
      <c r="AO181" s="181"/>
      <c r="AP181" s="181"/>
      <c r="AQ181" s="181"/>
    </row>
    <row r="182" spans="1:43">
      <c r="A182" s="186"/>
      <c r="B182" s="186"/>
      <c r="C182" s="186"/>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1"/>
      <c r="AB182" s="181"/>
      <c r="AC182" s="181"/>
      <c r="AD182" s="181"/>
      <c r="AE182" s="181"/>
      <c r="AF182" s="181"/>
      <c r="AG182" s="181"/>
      <c r="AH182" s="181"/>
      <c r="AI182" s="181"/>
      <c r="AJ182" s="181"/>
      <c r="AK182" s="181"/>
      <c r="AL182" s="181"/>
      <c r="AM182" s="181"/>
      <c r="AN182" s="181"/>
      <c r="AO182" s="181"/>
      <c r="AP182" s="181"/>
      <c r="AQ182" s="181"/>
    </row>
    <row r="183" spans="1:43">
      <c r="A183" s="186"/>
      <c r="B183" s="186"/>
      <c r="C183" s="186"/>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1"/>
      <c r="AB183" s="181"/>
      <c r="AC183" s="181"/>
      <c r="AD183" s="181"/>
      <c r="AE183" s="181"/>
      <c r="AF183" s="181"/>
      <c r="AG183" s="181"/>
      <c r="AH183" s="181"/>
      <c r="AI183" s="181"/>
      <c r="AJ183" s="181"/>
      <c r="AK183" s="181"/>
      <c r="AL183" s="181"/>
      <c r="AM183" s="181"/>
      <c r="AN183" s="181"/>
      <c r="AO183" s="181"/>
      <c r="AP183" s="181"/>
      <c r="AQ183" s="181"/>
    </row>
    <row r="184" spans="1:43">
      <c r="A184" s="186"/>
      <c r="B184" s="186"/>
      <c r="C184" s="186"/>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1"/>
      <c r="AB184" s="181"/>
      <c r="AC184" s="181"/>
      <c r="AD184" s="181"/>
      <c r="AE184" s="181"/>
      <c r="AF184" s="181"/>
      <c r="AG184" s="181"/>
      <c r="AH184" s="181"/>
      <c r="AI184" s="181"/>
      <c r="AJ184" s="181"/>
      <c r="AK184" s="181"/>
      <c r="AL184" s="181"/>
      <c r="AM184" s="181"/>
      <c r="AN184" s="181"/>
      <c r="AO184" s="181"/>
      <c r="AP184" s="181"/>
      <c r="AQ184" s="181"/>
    </row>
    <row r="185" spans="1:43">
      <c r="A185" s="186"/>
      <c r="B185" s="186"/>
      <c r="C185" s="186"/>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1"/>
      <c r="AB185" s="181"/>
      <c r="AC185" s="181"/>
      <c r="AD185" s="181"/>
      <c r="AE185" s="181"/>
      <c r="AF185" s="181"/>
      <c r="AG185" s="181"/>
      <c r="AH185" s="181"/>
      <c r="AI185" s="181"/>
      <c r="AJ185" s="181"/>
      <c r="AK185" s="181"/>
      <c r="AL185" s="181"/>
      <c r="AM185" s="181"/>
      <c r="AN185" s="181"/>
      <c r="AO185" s="181"/>
      <c r="AP185" s="181"/>
      <c r="AQ185" s="181"/>
    </row>
    <row r="186" spans="1:43">
      <c r="A186" s="186"/>
      <c r="B186" s="186"/>
      <c r="C186" s="186"/>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1"/>
      <c r="AB186" s="181"/>
      <c r="AC186" s="181"/>
      <c r="AD186" s="181"/>
      <c r="AE186" s="181"/>
      <c r="AF186" s="181"/>
      <c r="AG186" s="181"/>
      <c r="AH186" s="181"/>
      <c r="AI186" s="181"/>
      <c r="AJ186" s="181"/>
      <c r="AK186" s="181"/>
      <c r="AL186" s="181"/>
      <c r="AM186" s="181"/>
      <c r="AN186" s="181"/>
      <c r="AO186" s="181"/>
      <c r="AP186" s="181"/>
      <c r="AQ186" s="181"/>
    </row>
    <row r="187" spans="1:43">
      <c r="A187" s="186"/>
      <c r="B187" s="186"/>
      <c r="C187" s="186"/>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1"/>
      <c r="AB187" s="181"/>
      <c r="AC187" s="181"/>
      <c r="AD187" s="181"/>
      <c r="AE187" s="181"/>
      <c r="AF187" s="181"/>
      <c r="AG187" s="181"/>
      <c r="AH187" s="181"/>
      <c r="AI187" s="181"/>
      <c r="AJ187" s="181"/>
      <c r="AK187" s="181"/>
      <c r="AL187" s="181"/>
      <c r="AM187" s="181"/>
      <c r="AN187" s="181"/>
      <c r="AO187" s="181"/>
      <c r="AP187" s="181"/>
      <c r="AQ187" s="181"/>
    </row>
    <row r="188" spans="1:43">
      <c r="A188" s="186"/>
      <c r="B188" s="186"/>
      <c r="C188" s="186"/>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1"/>
      <c r="AB188" s="181"/>
      <c r="AC188" s="181"/>
      <c r="AD188" s="181"/>
      <c r="AE188" s="181"/>
      <c r="AF188" s="181"/>
      <c r="AG188" s="181"/>
      <c r="AH188" s="181"/>
      <c r="AI188" s="181"/>
      <c r="AJ188" s="181"/>
      <c r="AK188" s="181"/>
      <c r="AL188" s="181"/>
      <c r="AM188" s="181"/>
      <c r="AN188" s="181"/>
      <c r="AO188" s="181"/>
      <c r="AP188" s="181"/>
      <c r="AQ188" s="181"/>
    </row>
    <row r="189" spans="1:43">
      <c r="A189" s="186"/>
      <c r="B189" s="186"/>
      <c r="C189" s="186"/>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1"/>
      <c r="AB189" s="181"/>
      <c r="AC189" s="181"/>
      <c r="AD189" s="181"/>
      <c r="AE189" s="181"/>
      <c r="AF189" s="181"/>
      <c r="AG189" s="181"/>
      <c r="AH189" s="181"/>
      <c r="AI189" s="181"/>
      <c r="AJ189" s="181"/>
      <c r="AK189" s="181"/>
      <c r="AL189" s="181"/>
      <c r="AM189" s="181"/>
      <c r="AN189" s="181"/>
      <c r="AO189" s="181"/>
      <c r="AP189" s="181"/>
      <c r="AQ189" s="181"/>
    </row>
    <row r="190" spans="1:43">
      <c r="A190" s="186"/>
      <c r="B190" s="186"/>
      <c r="C190" s="186"/>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1"/>
      <c r="AB190" s="181"/>
      <c r="AC190" s="181"/>
      <c r="AD190" s="181"/>
      <c r="AE190" s="181"/>
      <c r="AF190" s="181"/>
      <c r="AG190" s="181"/>
      <c r="AH190" s="181"/>
      <c r="AI190" s="181"/>
      <c r="AJ190" s="181"/>
      <c r="AK190" s="181"/>
      <c r="AL190" s="181"/>
      <c r="AM190" s="181"/>
      <c r="AN190" s="181"/>
      <c r="AO190" s="181"/>
      <c r="AP190" s="181"/>
      <c r="AQ190" s="181"/>
    </row>
    <row r="191" spans="1:43">
      <c r="A191" s="186"/>
      <c r="B191" s="186"/>
      <c r="C191" s="186"/>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1"/>
      <c r="AB191" s="181"/>
      <c r="AC191" s="181"/>
      <c r="AD191" s="181"/>
      <c r="AE191" s="181"/>
      <c r="AF191" s="181"/>
      <c r="AG191" s="181"/>
      <c r="AH191" s="181"/>
      <c r="AI191" s="181"/>
      <c r="AJ191" s="181"/>
      <c r="AK191" s="181"/>
      <c r="AL191" s="181"/>
      <c r="AM191" s="181"/>
      <c r="AN191" s="181"/>
      <c r="AO191" s="181"/>
      <c r="AP191" s="181"/>
      <c r="AQ191" s="181"/>
    </row>
    <row r="192" spans="1:43">
      <c r="A192" s="186"/>
      <c r="B192" s="186"/>
      <c r="C192" s="186"/>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1"/>
      <c r="AB192" s="181"/>
      <c r="AC192" s="181"/>
      <c r="AD192" s="181"/>
      <c r="AE192" s="181"/>
      <c r="AF192" s="181"/>
      <c r="AG192" s="181"/>
      <c r="AH192" s="181"/>
      <c r="AI192" s="181"/>
      <c r="AJ192" s="181"/>
      <c r="AK192" s="181"/>
      <c r="AL192" s="181"/>
      <c r="AM192" s="181"/>
      <c r="AN192" s="181"/>
      <c r="AO192" s="181"/>
      <c r="AP192" s="181"/>
      <c r="AQ192" s="181"/>
    </row>
    <row r="193" spans="1:43">
      <c r="A193" s="186"/>
      <c r="B193" s="186"/>
      <c r="C193" s="186"/>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1"/>
      <c r="AB193" s="181"/>
      <c r="AC193" s="181"/>
      <c r="AD193" s="181"/>
      <c r="AE193" s="181"/>
      <c r="AF193" s="181"/>
      <c r="AG193" s="181"/>
      <c r="AH193" s="181"/>
      <c r="AI193" s="181"/>
      <c r="AJ193" s="181"/>
      <c r="AK193" s="181"/>
      <c r="AL193" s="181"/>
      <c r="AM193" s="181"/>
      <c r="AN193" s="181"/>
      <c r="AO193" s="181"/>
      <c r="AP193" s="181"/>
      <c r="AQ193" s="181"/>
    </row>
    <row r="194" spans="1:43">
      <c r="A194" s="186"/>
      <c r="B194" s="186"/>
      <c r="C194" s="186"/>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1"/>
      <c r="AB194" s="181"/>
      <c r="AC194" s="181"/>
      <c r="AD194" s="181"/>
      <c r="AE194" s="181"/>
      <c r="AF194" s="181"/>
      <c r="AG194" s="181"/>
      <c r="AH194" s="181"/>
      <c r="AI194" s="181"/>
      <c r="AJ194" s="181"/>
      <c r="AK194" s="181"/>
      <c r="AL194" s="181"/>
      <c r="AM194" s="181"/>
      <c r="AN194" s="181"/>
      <c r="AO194" s="181"/>
      <c r="AP194" s="181"/>
      <c r="AQ194" s="181"/>
    </row>
    <row r="195" spans="1:43">
      <c r="A195" s="186"/>
      <c r="B195" s="186"/>
      <c r="C195" s="186"/>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1"/>
      <c r="AB195" s="181"/>
      <c r="AC195" s="181"/>
      <c r="AD195" s="181"/>
      <c r="AE195" s="181"/>
      <c r="AF195" s="181"/>
      <c r="AG195" s="181"/>
      <c r="AH195" s="181"/>
      <c r="AI195" s="181"/>
      <c r="AJ195" s="181"/>
      <c r="AK195" s="181"/>
      <c r="AL195" s="181"/>
      <c r="AM195" s="181"/>
      <c r="AN195" s="181"/>
      <c r="AO195" s="181"/>
      <c r="AP195" s="181"/>
      <c r="AQ195" s="181"/>
    </row>
    <row r="196" spans="1:43">
      <c r="A196" s="186"/>
      <c r="B196" s="186"/>
      <c r="C196" s="186"/>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1"/>
      <c r="AB196" s="181"/>
      <c r="AC196" s="181"/>
      <c r="AD196" s="181"/>
      <c r="AE196" s="181"/>
      <c r="AF196" s="181"/>
      <c r="AG196" s="181"/>
      <c r="AH196" s="181"/>
      <c r="AI196" s="181"/>
      <c r="AJ196" s="181"/>
      <c r="AK196" s="181"/>
      <c r="AL196" s="181"/>
      <c r="AM196" s="181"/>
      <c r="AN196" s="181"/>
      <c r="AO196" s="181"/>
      <c r="AP196" s="181"/>
      <c r="AQ196" s="181"/>
    </row>
    <row r="197" spans="1:43">
      <c r="A197" s="186"/>
      <c r="B197" s="186"/>
      <c r="C197" s="186"/>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1"/>
      <c r="AB197" s="181"/>
      <c r="AC197" s="181"/>
      <c r="AD197" s="181"/>
      <c r="AE197" s="181"/>
      <c r="AF197" s="181"/>
      <c r="AG197" s="181"/>
      <c r="AH197" s="181"/>
      <c r="AI197" s="181"/>
      <c r="AJ197" s="181"/>
      <c r="AK197" s="181"/>
      <c r="AL197" s="181"/>
      <c r="AM197" s="181"/>
      <c r="AN197" s="181"/>
      <c r="AO197" s="181"/>
      <c r="AP197" s="181"/>
      <c r="AQ197" s="181"/>
    </row>
    <row r="198" spans="1:43">
      <c r="A198" s="186"/>
      <c r="B198" s="186"/>
      <c r="C198" s="186"/>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1"/>
      <c r="AB198" s="181"/>
      <c r="AC198" s="181"/>
      <c r="AD198" s="181"/>
      <c r="AE198" s="181"/>
      <c r="AF198" s="181"/>
      <c r="AG198" s="181"/>
      <c r="AH198" s="181"/>
      <c r="AI198" s="181"/>
      <c r="AJ198" s="181"/>
      <c r="AK198" s="181"/>
      <c r="AL198" s="181"/>
      <c r="AM198" s="181"/>
      <c r="AN198" s="181"/>
      <c r="AO198" s="181"/>
      <c r="AP198" s="181"/>
      <c r="AQ198" s="181"/>
    </row>
    <row r="199" spans="1:43">
      <c r="A199" s="186"/>
      <c r="B199" s="186"/>
      <c r="C199" s="186"/>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1"/>
      <c r="AB199" s="181"/>
      <c r="AC199" s="181"/>
      <c r="AD199" s="181"/>
      <c r="AE199" s="181"/>
      <c r="AF199" s="181"/>
      <c r="AG199" s="181"/>
      <c r="AH199" s="181"/>
      <c r="AI199" s="181"/>
      <c r="AJ199" s="181"/>
      <c r="AK199" s="181"/>
      <c r="AL199" s="181"/>
      <c r="AM199" s="181"/>
      <c r="AN199" s="181"/>
      <c r="AO199" s="181"/>
      <c r="AP199" s="181"/>
      <c r="AQ199" s="181"/>
    </row>
    <row r="200" spans="1:43">
      <c r="A200" s="186"/>
      <c r="B200" s="186"/>
      <c r="C200" s="186"/>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1"/>
      <c r="AB200" s="181"/>
      <c r="AC200" s="181"/>
      <c r="AD200" s="181"/>
      <c r="AE200" s="181"/>
      <c r="AF200" s="181"/>
      <c r="AG200" s="181"/>
      <c r="AH200" s="181"/>
      <c r="AI200" s="181"/>
      <c r="AJ200" s="181"/>
      <c r="AK200" s="181"/>
      <c r="AL200" s="181"/>
      <c r="AM200" s="181"/>
      <c r="AN200" s="181"/>
      <c r="AO200" s="181"/>
      <c r="AP200" s="181"/>
      <c r="AQ200" s="181"/>
    </row>
    <row r="201" spans="1:43">
      <c r="A201" s="186"/>
      <c r="B201" s="186"/>
      <c r="C201" s="186"/>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1"/>
      <c r="AB201" s="181"/>
      <c r="AC201" s="181"/>
      <c r="AD201" s="181"/>
      <c r="AE201" s="181"/>
      <c r="AF201" s="181"/>
      <c r="AG201" s="181"/>
      <c r="AH201" s="181"/>
      <c r="AI201" s="181"/>
      <c r="AJ201" s="181"/>
      <c r="AK201" s="181"/>
      <c r="AL201" s="181"/>
      <c r="AM201" s="181"/>
      <c r="AN201" s="181"/>
      <c r="AO201" s="181"/>
      <c r="AP201" s="181"/>
      <c r="AQ201" s="181"/>
    </row>
    <row r="202" spans="1:43">
      <c r="A202" s="186"/>
      <c r="B202" s="186"/>
      <c r="C202" s="186"/>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1"/>
      <c r="AB202" s="181"/>
      <c r="AC202" s="181"/>
      <c r="AD202" s="181"/>
      <c r="AE202" s="181"/>
      <c r="AF202" s="181"/>
      <c r="AG202" s="181"/>
      <c r="AH202" s="181"/>
      <c r="AI202" s="181"/>
      <c r="AJ202" s="181"/>
      <c r="AK202" s="181"/>
      <c r="AL202" s="181"/>
      <c r="AM202" s="181"/>
      <c r="AN202" s="181"/>
      <c r="AO202" s="181"/>
      <c r="AP202" s="181"/>
      <c r="AQ202" s="181"/>
    </row>
    <row r="203" spans="1:43">
      <c r="A203" s="186"/>
      <c r="B203" s="186"/>
      <c r="C203" s="186"/>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1"/>
      <c r="AB203" s="181"/>
      <c r="AC203" s="181"/>
      <c r="AD203" s="181"/>
      <c r="AE203" s="181"/>
      <c r="AF203" s="181"/>
      <c r="AG203" s="181"/>
      <c r="AH203" s="181"/>
      <c r="AI203" s="181"/>
      <c r="AJ203" s="181"/>
      <c r="AK203" s="181"/>
      <c r="AL203" s="181"/>
      <c r="AM203" s="181"/>
      <c r="AN203" s="181"/>
      <c r="AO203" s="181"/>
      <c r="AP203" s="181"/>
      <c r="AQ203" s="181"/>
    </row>
    <row r="204" spans="1:43">
      <c r="A204" s="186"/>
      <c r="B204" s="186"/>
      <c r="C204" s="186"/>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1"/>
      <c r="AB204" s="181"/>
      <c r="AC204" s="181"/>
      <c r="AD204" s="181"/>
      <c r="AE204" s="181"/>
      <c r="AF204" s="181"/>
      <c r="AG204" s="181"/>
      <c r="AH204" s="181"/>
      <c r="AI204" s="181"/>
      <c r="AJ204" s="181"/>
      <c r="AK204" s="181"/>
      <c r="AL204" s="181"/>
      <c r="AM204" s="181"/>
      <c r="AN204" s="181"/>
      <c r="AO204" s="181"/>
      <c r="AP204" s="181"/>
      <c r="AQ204" s="181"/>
    </row>
    <row r="205" spans="1:43">
      <c r="A205" s="186"/>
      <c r="B205" s="186"/>
      <c r="C205" s="186"/>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1"/>
      <c r="AB205" s="181"/>
      <c r="AC205" s="181"/>
      <c r="AD205" s="181"/>
      <c r="AE205" s="181"/>
      <c r="AF205" s="181"/>
      <c r="AG205" s="181"/>
      <c r="AH205" s="181"/>
      <c r="AI205" s="181"/>
      <c r="AJ205" s="181"/>
      <c r="AK205" s="181"/>
      <c r="AL205" s="181"/>
      <c r="AM205" s="181"/>
      <c r="AN205" s="181"/>
      <c r="AO205" s="181"/>
      <c r="AP205" s="181"/>
      <c r="AQ205" s="181"/>
    </row>
    <row r="206" spans="1:43">
      <c r="A206" s="186"/>
      <c r="B206" s="186"/>
      <c r="C206" s="186"/>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1"/>
      <c r="AB206" s="181"/>
      <c r="AC206" s="181"/>
      <c r="AD206" s="181"/>
      <c r="AE206" s="181"/>
      <c r="AF206" s="181"/>
      <c r="AG206" s="181"/>
      <c r="AH206" s="181"/>
      <c r="AI206" s="181"/>
      <c r="AJ206" s="181"/>
      <c r="AK206" s="181"/>
      <c r="AL206" s="181"/>
      <c r="AM206" s="181"/>
      <c r="AN206" s="181"/>
      <c r="AO206" s="181"/>
      <c r="AP206" s="181"/>
      <c r="AQ206" s="181"/>
    </row>
    <row r="207" spans="1:43">
      <c r="A207" s="186"/>
      <c r="B207" s="186"/>
      <c r="C207" s="186"/>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1"/>
      <c r="AB207" s="181"/>
      <c r="AC207" s="181"/>
      <c r="AD207" s="181"/>
      <c r="AE207" s="181"/>
      <c r="AF207" s="181"/>
      <c r="AG207" s="181"/>
      <c r="AH207" s="181"/>
      <c r="AI207" s="181"/>
      <c r="AJ207" s="181"/>
      <c r="AK207" s="181"/>
      <c r="AL207" s="181"/>
      <c r="AM207" s="181"/>
      <c r="AN207" s="181"/>
      <c r="AO207" s="181"/>
      <c r="AP207" s="181"/>
      <c r="AQ207" s="181"/>
    </row>
    <row r="208" spans="1:43">
      <c r="A208" s="186"/>
      <c r="B208" s="186"/>
      <c r="C208" s="186"/>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1"/>
      <c r="AB208" s="181"/>
      <c r="AC208" s="181"/>
      <c r="AD208" s="181"/>
      <c r="AE208" s="181"/>
      <c r="AF208" s="181"/>
      <c r="AG208" s="181"/>
      <c r="AH208" s="181"/>
      <c r="AI208" s="181"/>
      <c r="AJ208" s="181"/>
      <c r="AK208" s="181"/>
      <c r="AL208" s="181"/>
      <c r="AM208" s="181"/>
      <c r="AN208" s="181"/>
      <c r="AO208" s="181"/>
      <c r="AP208" s="181"/>
      <c r="AQ208" s="181"/>
    </row>
    <row r="209" spans="1:43">
      <c r="A209" s="186"/>
      <c r="B209" s="186"/>
      <c r="C209" s="186"/>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1"/>
      <c r="AB209" s="181"/>
      <c r="AC209" s="181"/>
      <c r="AD209" s="181"/>
      <c r="AE209" s="181"/>
      <c r="AF209" s="181"/>
      <c r="AG209" s="181"/>
      <c r="AH209" s="181"/>
      <c r="AI209" s="181"/>
      <c r="AJ209" s="181"/>
      <c r="AK209" s="181"/>
      <c r="AL209" s="181"/>
      <c r="AM209" s="181"/>
      <c r="AN209" s="181"/>
      <c r="AO209" s="181"/>
      <c r="AP209" s="181"/>
      <c r="AQ209" s="181"/>
    </row>
    <row r="210" spans="1:43">
      <c r="A210" s="186"/>
      <c r="B210" s="186"/>
      <c r="C210" s="186"/>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1"/>
      <c r="AB210" s="181"/>
      <c r="AC210" s="181"/>
      <c r="AD210" s="181"/>
      <c r="AE210" s="181"/>
      <c r="AF210" s="181"/>
      <c r="AG210" s="181"/>
      <c r="AH210" s="181"/>
      <c r="AI210" s="181"/>
      <c r="AJ210" s="181"/>
      <c r="AK210" s="181"/>
      <c r="AL210" s="181"/>
      <c r="AM210" s="181"/>
      <c r="AN210" s="181"/>
      <c r="AO210" s="181"/>
      <c r="AP210" s="181"/>
      <c r="AQ210" s="181"/>
    </row>
    <row r="211" spans="1:43">
      <c r="A211" s="186"/>
      <c r="B211" s="186"/>
      <c r="C211" s="186"/>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1"/>
      <c r="AB211" s="181"/>
      <c r="AC211" s="181"/>
      <c r="AD211" s="181"/>
      <c r="AE211" s="181"/>
      <c r="AF211" s="181"/>
      <c r="AG211" s="181"/>
      <c r="AH211" s="181"/>
      <c r="AI211" s="181"/>
      <c r="AJ211" s="181"/>
      <c r="AK211" s="181"/>
      <c r="AL211" s="181"/>
      <c r="AM211" s="181"/>
      <c r="AN211" s="181"/>
      <c r="AO211" s="181"/>
      <c r="AP211" s="181"/>
      <c r="AQ211" s="181"/>
    </row>
    <row r="212" spans="1:43">
      <c r="A212" s="186"/>
      <c r="B212" s="186"/>
      <c r="C212" s="186"/>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1"/>
      <c r="AB212" s="181"/>
      <c r="AC212" s="181"/>
      <c r="AD212" s="181"/>
      <c r="AE212" s="181"/>
      <c r="AF212" s="181"/>
      <c r="AG212" s="181"/>
      <c r="AH212" s="181"/>
      <c r="AI212" s="181"/>
      <c r="AJ212" s="181"/>
      <c r="AK212" s="181"/>
      <c r="AL212" s="181"/>
      <c r="AM212" s="181"/>
      <c r="AN212" s="181"/>
      <c r="AO212" s="181"/>
      <c r="AP212" s="181"/>
      <c r="AQ212" s="181"/>
    </row>
    <row r="213" spans="1:43">
      <c r="A213" s="186"/>
      <c r="B213" s="186"/>
      <c r="C213" s="186"/>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1"/>
      <c r="AB213" s="181"/>
      <c r="AC213" s="181"/>
      <c r="AD213" s="181"/>
      <c r="AE213" s="181"/>
      <c r="AF213" s="181"/>
      <c r="AG213" s="181"/>
      <c r="AH213" s="181"/>
      <c r="AI213" s="181"/>
      <c r="AJ213" s="181"/>
      <c r="AK213" s="181"/>
      <c r="AL213" s="181"/>
      <c r="AM213" s="181"/>
      <c r="AN213" s="181"/>
      <c r="AO213" s="181"/>
      <c r="AP213" s="181"/>
      <c r="AQ213" s="181"/>
    </row>
    <row r="214" spans="1:43">
      <c r="A214" s="186"/>
      <c r="B214" s="186"/>
      <c r="C214" s="186"/>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1"/>
      <c r="AB214" s="181"/>
      <c r="AC214" s="181"/>
      <c r="AD214" s="181"/>
      <c r="AE214" s="181"/>
      <c r="AF214" s="181"/>
      <c r="AG214" s="181"/>
      <c r="AH214" s="181"/>
      <c r="AI214" s="181"/>
      <c r="AJ214" s="181"/>
      <c r="AK214" s="181"/>
      <c r="AL214" s="181"/>
      <c r="AM214" s="181"/>
      <c r="AN214" s="181"/>
      <c r="AO214" s="181"/>
      <c r="AP214" s="181"/>
      <c r="AQ214" s="181"/>
    </row>
    <row r="215" spans="1:43">
      <c r="A215" s="186"/>
      <c r="B215" s="186"/>
      <c r="C215" s="186"/>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1"/>
      <c r="AB215" s="181"/>
      <c r="AC215" s="181"/>
      <c r="AD215" s="181"/>
      <c r="AE215" s="181"/>
      <c r="AF215" s="181"/>
      <c r="AG215" s="181"/>
      <c r="AH215" s="181"/>
      <c r="AI215" s="181"/>
      <c r="AJ215" s="181"/>
      <c r="AK215" s="181"/>
      <c r="AL215" s="181"/>
      <c r="AM215" s="181"/>
      <c r="AN215" s="181"/>
      <c r="AO215" s="181"/>
      <c r="AP215" s="181"/>
      <c r="AQ215" s="181"/>
    </row>
    <row r="216" spans="1:43">
      <c r="A216" s="186"/>
      <c r="B216" s="186"/>
      <c r="C216" s="186"/>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1"/>
      <c r="AB216" s="181"/>
      <c r="AC216" s="181"/>
      <c r="AD216" s="181"/>
      <c r="AE216" s="181"/>
      <c r="AF216" s="181"/>
      <c r="AG216" s="181"/>
      <c r="AH216" s="181"/>
      <c r="AI216" s="181"/>
      <c r="AJ216" s="181"/>
      <c r="AK216" s="181"/>
      <c r="AL216" s="181"/>
      <c r="AM216" s="181"/>
      <c r="AN216" s="181"/>
      <c r="AO216" s="181"/>
      <c r="AP216" s="181"/>
      <c r="AQ216" s="181"/>
    </row>
    <row r="217" spans="1:43">
      <c r="A217" s="186"/>
      <c r="B217" s="186"/>
      <c r="C217" s="186"/>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1"/>
      <c r="AB217" s="181"/>
      <c r="AC217" s="181"/>
      <c r="AD217" s="181"/>
      <c r="AE217" s="181"/>
      <c r="AF217" s="181"/>
      <c r="AG217" s="181"/>
      <c r="AH217" s="181"/>
      <c r="AI217" s="181"/>
      <c r="AJ217" s="181"/>
      <c r="AK217" s="181"/>
      <c r="AL217" s="181"/>
      <c r="AM217" s="181"/>
      <c r="AN217" s="181"/>
      <c r="AO217" s="181"/>
      <c r="AP217" s="181"/>
      <c r="AQ217" s="181"/>
    </row>
    <row r="218" spans="1:43">
      <c r="A218" s="186"/>
      <c r="B218" s="186"/>
      <c r="C218" s="186"/>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1"/>
      <c r="AB218" s="181"/>
      <c r="AC218" s="181"/>
      <c r="AD218" s="181"/>
      <c r="AE218" s="181"/>
      <c r="AF218" s="181"/>
      <c r="AG218" s="181"/>
      <c r="AH218" s="181"/>
      <c r="AI218" s="181"/>
      <c r="AJ218" s="181"/>
      <c r="AK218" s="181"/>
      <c r="AL218" s="181"/>
      <c r="AM218" s="181"/>
      <c r="AN218" s="181"/>
      <c r="AO218" s="181"/>
      <c r="AP218" s="181"/>
      <c r="AQ218" s="181"/>
    </row>
    <row r="219" spans="1:43">
      <c r="A219" s="186"/>
      <c r="B219" s="186"/>
      <c r="C219" s="186"/>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1"/>
      <c r="AB219" s="181"/>
      <c r="AC219" s="181"/>
      <c r="AD219" s="181"/>
      <c r="AE219" s="181"/>
      <c r="AF219" s="181"/>
      <c r="AG219" s="181"/>
      <c r="AH219" s="181"/>
      <c r="AI219" s="181"/>
      <c r="AJ219" s="181"/>
      <c r="AK219" s="181"/>
      <c r="AL219" s="181"/>
      <c r="AM219" s="181"/>
      <c r="AN219" s="181"/>
      <c r="AO219" s="181"/>
      <c r="AP219" s="181"/>
      <c r="AQ219" s="181"/>
    </row>
    <row r="220" spans="1:43">
      <c r="A220" s="186"/>
      <c r="B220" s="186"/>
      <c r="C220" s="186"/>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1"/>
      <c r="AB220" s="181"/>
      <c r="AC220" s="181"/>
      <c r="AD220" s="181"/>
      <c r="AE220" s="181"/>
      <c r="AF220" s="181"/>
      <c r="AG220" s="181"/>
      <c r="AH220" s="181"/>
      <c r="AI220" s="181"/>
      <c r="AJ220" s="181"/>
      <c r="AK220" s="181"/>
      <c r="AL220" s="181"/>
      <c r="AM220" s="181"/>
      <c r="AN220" s="181"/>
      <c r="AO220" s="181"/>
      <c r="AP220" s="181"/>
      <c r="AQ220" s="181"/>
    </row>
    <row r="221" spans="1:43">
      <c r="A221" s="186"/>
      <c r="B221" s="186"/>
      <c r="C221" s="186"/>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1"/>
      <c r="AB221" s="181"/>
      <c r="AC221" s="181"/>
      <c r="AD221" s="181"/>
      <c r="AE221" s="181"/>
      <c r="AF221" s="181"/>
      <c r="AG221" s="181"/>
      <c r="AH221" s="181"/>
      <c r="AI221" s="181"/>
      <c r="AJ221" s="181"/>
      <c r="AK221" s="181"/>
      <c r="AL221" s="181"/>
      <c r="AM221" s="181"/>
      <c r="AN221" s="181"/>
      <c r="AO221" s="181"/>
      <c r="AP221" s="181"/>
      <c r="AQ221" s="181"/>
    </row>
    <row r="222" spans="1:43">
      <c r="A222" s="186"/>
      <c r="B222" s="186"/>
      <c r="C222" s="186"/>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1"/>
      <c r="AB222" s="181"/>
      <c r="AC222" s="181"/>
      <c r="AD222" s="181"/>
      <c r="AE222" s="181"/>
      <c r="AF222" s="181"/>
      <c r="AG222" s="181"/>
      <c r="AH222" s="181"/>
      <c r="AI222" s="181"/>
      <c r="AJ222" s="181"/>
      <c r="AK222" s="181"/>
      <c r="AL222" s="181"/>
      <c r="AM222" s="181"/>
      <c r="AN222" s="181"/>
      <c r="AO222" s="181"/>
      <c r="AP222" s="181"/>
      <c r="AQ222" s="181"/>
    </row>
    <row r="223" spans="1:43">
      <c r="A223" s="186"/>
      <c r="B223" s="186"/>
      <c r="C223" s="186"/>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1"/>
      <c r="AB223" s="181"/>
      <c r="AC223" s="181"/>
      <c r="AD223" s="181"/>
      <c r="AE223" s="181"/>
      <c r="AF223" s="181"/>
      <c r="AG223" s="181"/>
      <c r="AH223" s="181"/>
      <c r="AI223" s="181"/>
      <c r="AJ223" s="181"/>
      <c r="AK223" s="181"/>
      <c r="AL223" s="181"/>
      <c r="AM223" s="181"/>
      <c r="AN223" s="181"/>
      <c r="AO223" s="181"/>
      <c r="AP223" s="181"/>
      <c r="AQ223" s="181"/>
    </row>
    <row r="224" spans="1:43">
      <c r="A224" s="186"/>
      <c r="B224" s="186"/>
      <c r="C224" s="186"/>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1"/>
      <c r="AB224" s="181"/>
      <c r="AC224" s="181"/>
      <c r="AD224" s="181"/>
      <c r="AE224" s="181"/>
      <c r="AF224" s="181"/>
      <c r="AG224" s="181"/>
      <c r="AH224" s="181"/>
      <c r="AI224" s="181"/>
      <c r="AJ224" s="181"/>
      <c r="AK224" s="181"/>
      <c r="AL224" s="181"/>
      <c r="AM224" s="181"/>
      <c r="AN224" s="181"/>
      <c r="AO224" s="181"/>
      <c r="AP224" s="181"/>
      <c r="AQ224" s="181"/>
    </row>
    <row r="225" spans="1:43">
      <c r="A225" s="186"/>
      <c r="B225" s="186"/>
      <c r="C225" s="186"/>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1"/>
      <c r="AB225" s="181"/>
      <c r="AC225" s="181"/>
      <c r="AD225" s="181"/>
      <c r="AE225" s="181"/>
      <c r="AF225" s="181"/>
      <c r="AG225" s="181"/>
      <c r="AH225" s="181"/>
      <c r="AI225" s="181"/>
      <c r="AJ225" s="181"/>
      <c r="AK225" s="181"/>
      <c r="AL225" s="181"/>
      <c r="AM225" s="181"/>
      <c r="AN225" s="181"/>
      <c r="AO225" s="181"/>
      <c r="AP225" s="181"/>
      <c r="AQ225" s="181"/>
    </row>
    <row r="226" spans="1:43">
      <c r="A226" s="186"/>
      <c r="B226" s="186"/>
      <c r="C226" s="186"/>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1"/>
      <c r="AB226" s="181"/>
      <c r="AC226" s="181"/>
      <c r="AD226" s="181"/>
      <c r="AE226" s="181"/>
      <c r="AF226" s="181"/>
      <c r="AG226" s="181"/>
      <c r="AH226" s="181"/>
      <c r="AI226" s="181"/>
      <c r="AJ226" s="181"/>
      <c r="AK226" s="181"/>
      <c r="AL226" s="181"/>
      <c r="AM226" s="181"/>
      <c r="AN226" s="181"/>
      <c r="AO226" s="181"/>
      <c r="AP226" s="181"/>
      <c r="AQ226" s="181"/>
    </row>
    <row r="227" spans="1:43">
      <c r="A227" s="186"/>
      <c r="B227" s="186"/>
      <c r="C227" s="186"/>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1"/>
      <c r="AB227" s="181"/>
      <c r="AC227" s="181"/>
      <c r="AD227" s="181"/>
      <c r="AE227" s="181"/>
      <c r="AF227" s="181"/>
      <c r="AG227" s="181"/>
      <c r="AH227" s="181"/>
      <c r="AI227" s="181"/>
      <c r="AJ227" s="181"/>
      <c r="AK227" s="181"/>
      <c r="AL227" s="181"/>
      <c r="AM227" s="181"/>
      <c r="AN227" s="181"/>
      <c r="AO227" s="181"/>
      <c r="AP227" s="181"/>
      <c r="AQ227" s="181"/>
    </row>
    <row r="228" spans="1:43">
      <c r="A228" s="186"/>
      <c r="B228" s="186"/>
      <c r="C228" s="186"/>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1"/>
      <c r="AB228" s="181"/>
      <c r="AC228" s="181"/>
      <c r="AD228" s="181"/>
      <c r="AE228" s="181"/>
      <c r="AF228" s="181"/>
      <c r="AG228" s="181"/>
      <c r="AH228" s="181"/>
      <c r="AI228" s="181"/>
      <c r="AJ228" s="181"/>
      <c r="AK228" s="181"/>
      <c r="AL228" s="181"/>
      <c r="AM228" s="181"/>
      <c r="AN228" s="181"/>
      <c r="AO228" s="181"/>
      <c r="AP228" s="181"/>
      <c r="AQ228" s="181"/>
    </row>
    <row r="229" spans="1:43">
      <c r="A229" s="186"/>
      <c r="B229" s="186"/>
      <c r="C229" s="186"/>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1"/>
      <c r="AB229" s="181"/>
      <c r="AC229" s="181"/>
      <c r="AD229" s="181"/>
      <c r="AE229" s="181"/>
      <c r="AF229" s="181"/>
      <c r="AG229" s="181"/>
      <c r="AH229" s="181"/>
      <c r="AI229" s="181"/>
      <c r="AJ229" s="181"/>
      <c r="AK229" s="181"/>
      <c r="AL229" s="181"/>
      <c r="AM229" s="181"/>
      <c r="AN229" s="181"/>
      <c r="AO229" s="181"/>
      <c r="AP229" s="181"/>
      <c r="AQ229" s="181"/>
    </row>
    <row r="230" spans="1:43">
      <c r="A230" s="186"/>
      <c r="B230" s="186"/>
      <c r="C230" s="186"/>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1"/>
      <c r="AB230" s="181"/>
      <c r="AC230" s="181"/>
      <c r="AD230" s="181"/>
      <c r="AE230" s="181"/>
      <c r="AF230" s="181"/>
      <c r="AG230" s="181"/>
      <c r="AH230" s="181"/>
      <c r="AI230" s="181"/>
      <c r="AJ230" s="181"/>
      <c r="AK230" s="181"/>
      <c r="AL230" s="181"/>
      <c r="AM230" s="181"/>
      <c r="AN230" s="181"/>
      <c r="AO230" s="181"/>
      <c r="AP230" s="181"/>
      <c r="AQ230" s="181"/>
    </row>
    <row r="231" spans="1:43">
      <c r="A231" s="186"/>
      <c r="B231" s="186"/>
      <c r="C231" s="186"/>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1"/>
      <c r="AB231" s="181"/>
      <c r="AC231" s="181"/>
      <c r="AD231" s="181"/>
      <c r="AE231" s="181"/>
      <c r="AF231" s="181"/>
      <c r="AG231" s="181"/>
      <c r="AH231" s="181"/>
      <c r="AI231" s="181"/>
      <c r="AJ231" s="181"/>
      <c r="AK231" s="181"/>
      <c r="AL231" s="181"/>
      <c r="AM231" s="181"/>
      <c r="AN231" s="181"/>
      <c r="AO231" s="181"/>
      <c r="AP231" s="181"/>
      <c r="AQ231" s="181"/>
    </row>
    <row r="232" spans="1:43">
      <c r="A232" s="186"/>
      <c r="B232" s="186"/>
      <c r="C232" s="186"/>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1"/>
      <c r="AB232" s="181"/>
      <c r="AC232" s="181"/>
      <c r="AD232" s="181"/>
      <c r="AE232" s="181"/>
      <c r="AF232" s="181"/>
      <c r="AG232" s="181"/>
      <c r="AH232" s="181"/>
      <c r="AI232" s="181"/>
      <c r="AJ232" s="181"/>
      <c r="AK232" s="181"/>
      <c r="AL232" s="181"/>
      <c r="AM232" s="181"/>
      <c r="AN232" s="181"/>
      <c r="AO232" s="181"/>
      <c r="AP232" s="181"/>
      <c r="AQ232" s="181"/>
    </row>
    <row r="233" spans="1:43">
      <c r="A233" s="186"/>
      <c r="B233" s="186"/>
      <c r="C233" s="186"/>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1"/>
      <c r="AB233" s="181"/>
      <c r="AC233" s="181"/>
      <c r="AD233" s="181"/>
      <c r="AE233" s="181"/>
      <c r="AF233" s="181"/>
      <c r="AG233" s="181"/>
      <c r="AH233" s="181"/>
      <c r="AI233" s="181"/>
      <c r="AJ233" s="181"/>
      <c r="AK233" s="181"/>
      <c r="AL233" s="181"/>
      <c r="AM233" s="181"/>
      <c r="AN233" s="181"/>
      <c r="AO233" s="181"/>
      <c r="AP233" s="181"/>
      <c r="AQ233" s="181"/>
    </row>
    <row r="234" spans="1:43">
      <c r="A234" s="186"/>
      <c r="B234" s="186"/>
      <c r="C234" s="186"/>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1"/>
      <c r="AB234" s="181"/>
      <c r="AC234" s="181"/>
      <c r="AD234" s="181"/>
      <c r="AE234" s="181"/>
      <c r="AF234" s="181"/>
      <c r="AG234" s="181"/>
      <c r="AH234" s="181"/>
      <c r="AI234" s="181"/>
      <c r="AJ234" s="181"/>
      <c r="AK234" s="181"/>
      <c r="AL234" s="181"/>
      <c r="AM234" s="181"/>
      <c r="AN234" s="181"/>
      <c r="AO234" s="181"/>
      <c r="AP234" s="181"/>
      <c r="AQ234" s="181"/>
    </row>
    <row r="235" spans="1:43">
      <c r="A235" s="186"/>
      <c r="B235" s="186"/>
      <c r="C235" s="186"/>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1"/>
      <c r="AB235" s="181"/>
      <c r="AC235" s="181"/>
      <c r="AD235" s="181"/>
      <c r="AE235" s="181"/>
      <c r="AF235" s="181"/>
      <c r="AG235" s="181"/>
      <c r="AH235" s="181"/>
      <c r="AI235" s="181"/>
      <c r="AJ235" s="181"/>
      <c r="AK235" s="181"/>
      <c r="AL235" s="181"/>
      <c r="AM235" s="181"/>
      <c r="AN235" s="181"/>
      <c r="AO235" s="181"/>
      <c r="AP235" s="181"/>
      <c r="AQ235" s="181"/>
    </row>
    <row r="236" spans="1:43">
      <c r="A236" s="186"/>
      <c r="B236" s="186"/>
      <c r="C236" s="186"/>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1"/>
      <c r="AB236" s="181"/>
      <c r="AC236" s="181"/>
      <c r="AD236" s="181"/>
      <c r="AE236" s="181"/>
      <c r="AF236" s="181"/>
      <c r="AG236" s="181"/>
      <c r="AH236" s="181"/>
      <c r="AI236" s="181"/>
      <c r="AJ236" s="181"/>
      <c r="AK236" s="181"/>
      <c r="AL236" s="181"/>
      <c r="AM236" s="181"/>
      <c r="AN236" s="181"/>
      <c r="AO236" s="181"/>
      <c r="AP236" s="181"/>
      <c r="AQ236" s="181"/>
    </row>
    <row r="237" spans="1:43">
      <c r="A237" s="186"/>
      <c r="B237" s="186"/>
      <c r="C237" s="186"/>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1"/>
      <c r="AB237" s="181"/>
      <c r="AC237" s="181"/>
      <c r="AD237" s="181"/>
      <c r="AE237" s="181"/>
      <c r="AF237" s="181"/>
      <c r="AG237" s="181"/>
      <c r="AH237" s="181"/>
      <c r="AI237" s="181"/>
      <c r="AJ237" s="181"/>
      <c r="AK237" s="181"/>
      <c r="AL237" s="181"/>
      <c r="AM237" s="181"/>
      <c r="AN237" s="181"/>
      <c r="AO237" s="181"/>
      <c r="AP237" s="181"/>
      <c r="AQ237" s="181"/>
    </row>
    <row r="238" spans="1:43">
      <c r="A238" s="186"/>
      <c r="B238" s="186"/>
      <c r="C238" s="186"/>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1"/>
      <c r="AB238" s="181"/>
      <c r="AC238" s="181"/>
      <c r="AD238" s="181"/>
      <c r="AE238" s="181"/>
      <c r="AF238" s="181"/>
      <c r="AG238" s="181"/>
      <c r="AH238" s="181"/>
      <c r="AI238" s="181"/>
      <c r="AJ238" s="181"/>
      <c r="AK238" s="181"/>
      <c r="AL238" s="181"/>
      <c r="AM238" s="181"/>
      <c r="AN238" s="181"/>
      <c r="AO238" s="181"/>
      <c r="AP238" s="181"/>
      <c r="AQ238" s="181"/>
    </row>
    <row r="239" spans="1:43">
      <c r="A239" s="186"/>
      <c r="B239" s="186"/>
      <c r="C239" s="186"/>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1"/>
      <c r="AB239" s="181"/>
      <c r="AC239" s="181"/>
      <c r="AD239" s="181"/>
      <c r="AE239" s="181"/>
      <c r="AF239" s="181"/>
      <c r="AG239" s="181"/>
      <c r="AH239" s="181"/>
      <c r="AI239" s="181"/>
      <c r="AJ239" s="181"/>
      <c r="AK239" s="181"/>
      <c r="AL239" s="181"/>
      <c r="AM239" s="181"/>
      <c r="AN239" s="181"/>
      <c r="AO239" s="181"/>
      <c r="AP239" s="181"/>
      <c r="AQ239" s="181"/>
    </row>
    <row r="240" spans="1:43">
      <c r="A240" s="186"/>
      <c r="B240" s="186"/>
      <c r="C240" s="186"/>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1"/>
      <c r="AB240" s="181"/>
      <c r="AC240" s="181"/>
      <c r="AD240" s="181"/>
      <c r="AE240" s="181"/>
      <c r="AF240" s="181"/>
      <c r="AG240" s="181"/>
      <c r="AH240" s="181"/>
      <c r="AI240" s="181"/>
      <c r="AJ240" s="181"/>
      <c r="AK240" s="181"/>
      <c r="AL240" s="181"/>
      <c r="AM240" s="181"/>
      <c r="AN240" s="181"/>
      <c r="AO240" s="181"/>
      <c r="AP240" s="181"/>
      <c r="AQ240" s="181"/>
    </row>
    <row r="241" spans="1:43">
      <c r="A241" s="186"/>
      <c r="B241" s="186"/>
      <c r="C241" s="186"/>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1"/>
      <c r="AB241" s="181"/>
      <c r="AC241" s="181"/>
      <c r="AD241" s="181"/>
      <c r="AE241" s="181"/>
      <c r="AF241" s="181"/>
      <c r="AG241" s="181"/>
      <c r="AH241" s="181"/>
      <c r="AI241" s="181"/>
      <c r="AJ241" s="181"/>
      <c r="AK241" s="181"/>
      <c r="AL241" s="181"/>
      <c r="AM241" s="181"/>
      <c r="AN241" s="181"/>
      <c r="AO241" s="181"/>
      <c r="AP241" s="181"/>
      <c r="AQ241" s="181"/>
    </row>
    <row r="242" spans="1:43">
      <c r="A242" s="186"/>
      <c r="B242" s="186"/>
      <c r="C242" s="186"/>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1"/>
      <c r="AB242" s="181"/>
      <c r="AC242" s="181"/>
      <c r="AD242" s="181"/>
      <c r="AE242" s="181"/>
      <c r="AF242" s="181"/>
      <c r="AG242" s="181"/>
      <c r="AH242" s="181"/>
      <c r="AI242" s="181"/>
      <c r="AJ242" s="181"/>
      <c r="AK242" s="181"/>
      <c r="AL242" s="181"/>
      <c r="AM242" s="181"/>
      <c r="AN242" s="181"/>
      <c r="AO242" s="181"/>
      <c r="AP242" s="181"/>
      <c r="AQ242" s="181"/>
    </row>
    <row r="243" spans="1:43">
      <c r="A243" s="186"/>
      <c r="B243" s="186"/>
      <c r="C243" s="186"/>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1"/>
      <c r="AB243" s="181"/>
      <c r="AC243" s="181"/>
      <c r="AD243" s="181"/>
      <c r="AE243" s="181"/>
      <c r="AF243" s="181"/>
      <c r="AG243" s="181"/>
      <c r="AH243" s="181"/>
      <c r="AI243" s="181"/>
      <c r="AJ243" s="181"/>
      <c r="AK243" s="181"/>
      <c r="AL243" s="181"/>
      <c r="AM243" s="181"/>
      <c r="AN243" s="181"/>
      <c r="AO243" s="181"/>
      <c r="AP243" s="181"/>
      <c r="AQ243" s="181"/>
    </row>
    <row r="244" spans="1:43">
      <c r="A244" s="186"/>
      <c r="B244" s="186"/>
      <c r="C244" s="186"/>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1"/>
      <c r="AB244" s="181"/>
      <c r="AC244" s="181"/>
      <c r="AD244" s="181"/>
      <c r="AE244" s="181"/>
      <c r="AF244" s="181"/>
      <c r="AG244" s="181"/>
      <c r="AH244" s="181"/>
      <c r="AI244" s="181"/>
      <c r="AJ244" s="181"/>
      <c r="AK244" s="181"/>
      <c r="AL244" s="181"/>
      <c r="AM244" s="181"/>
      <c r="AN244" s="181"/>
      <c r="AO244" s="181"/>
      <c r="AP244" s="181"/>
      <c r="AQ244" s="181"/>
    </row>
    <row r="245" spans="1:43">
      <c r="A245" s="186"/>
      <c r="B245" s="186"/>
      <c r="C245" s="186"/>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1"/>
      <c r="AB245" s="181"/>
      <c r="AC245" s="181"/>
      <c r="AD245" s="181"/>
      <c r="AE245" s="181"/>
      <c r="AF245" s="181"/>
      <c r="AG245" s="181"/>
      <c r="AH245" s="181"/>
      <c r="AI245" s="181"/>
      <c r="AJ245" s="181"/>
      <c r="AK245" s="181"/>
      <c r="AL245" s="181"/>
      <c r="AM245" s="181"/>
      <c r="AN245" s="181"/>
      <c r="AO245" s="181"/>
      <c r="AP245" s="181"/>
      <c r="AQ245" s="181"/>
    </row>
    <row r="246" spans="1:43">
      <c r="A246" s="186"/>
      <c r="B246" s="186"/>
      <c r="C246" s="186"/>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1"/>
      <c r="AB246" s="181"/>
      <c r="AC246" s="181"/>
      <c r="AD246" s="181"/>
      <c r="AE246" s="181"/>
      <c r="AF246" s="181"/>
      <c r="AG246" s="181"/>
      <c r="AH246" s="181"/>
      <c r="AI246" s="181"/>
      <c r="AJ246" s="181"/>
      <c r="AK246" s="181"/>
      <c r="AL246" s="181"/>
      <c r="AM246" s="181"/>
      <c r="AN246" s="181"/>
      <c r="AO246" s="181"/>
      <c r="AP246" s="181"/>
      <c r="AQ246" s="181"/>
    </row>
    <row r="247" spans="1:43">
      <c r="A247" s="186"/>
      <c r="B247" s="186"/>
      <c r="C247" s="186"/>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1"/>
      <c r="AB247" s="181"/>
      <c r="AC247" s="181"/>
      <c r="AD247" s="181"/>
      <c r="AE247" s="181"/>
      <c r="AF247" s="181"/>
      <c r="AG247" s="181"/>
      <c r="AH247" s="181"/>
      <c r="AI247" s="181"/>
      <c r="AJ247" s="181"/>
      <c r="AK247" s="181"/>
      <c r="AL247" s="181"/>
      <c r="AM247" s="181"/>
      <c r="AN247" s="181"/>
      <c r="AO247" s="181"/>
      <c r="AP247" s="181"/>
      <c r="AQ247" s="181"/>
    </row>
    <row r="248" spans="1:43">
      <c r="A248" s="186"/>
      <c r="B248" s="186"/>
      <c r="C248" s="186"/>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1"/>
      <c r="AB248" s="181"/>
      <c r="AC248" s="181"/>
      <c r="AD248" s="181"/>
      <c r="AE248" s="181"/>
      <c r="AF248" s="181"/>
      <c r="AG248" s="181"/>
      <c r="AH248" s="181"/>
      <c r="AI248" s="181"/>
      <c r="AJ248" s="181"/>
      <c r="AK248" s="181"/>
      <c r="AL248" s="181"/>
      <c r="AM248" s="181"/>
      <c r="AN248" s="181"/>
      <c r="AO248" s="181"/>
      <c r="AP248" s="181"/>
      <c r="AQ248" s="181"/>
    </row>
    <row r="249" spans="1:43">
      <c r="A249" s="186"/>
      <c r="B249" s="186"/>
      <c r="C249" s="186"/>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1"/>
      <c r="AB249" s="181"/>
      <c r="AC249" s="181"/>
      <c r="AD249" s="181"/>
      <c r="AE249" s="181"/>
      <c r="AF249" s="181"/>
      <c r="AG249" s="181"/>
      <c r="AH249" s="181"/>
      <c r="AI249" s="181"/>
      <c r="AJ249" s="181"/>
      <c r="AK249" s="181"/>
      <c r="AL249" s="181"/>
      <c r="AM249" s="181"/>
      <c r="AN249" s="181"/>
      <c r="AO249" s="181"/>
      <c r="AP249" s="181"/>
      <c r="AQ249" s="181"/>
    </row>
    <row r="250" spans="1:43">
      <c r="A250" s="186"/>
      <c r="B250" s="186"/>
      <c r="C250" s="186"/>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1"/>
      <c r="AB250" s="181"/>
      <c r="AC250" s="181"/>
      <c r="AD250" s="181"/>
      <c r="AE250" s="181"/>
      <c r="AF250" s="181"/>
      <c r="AG250" s="181"/>
      <c r="AH250" s="181"/>
      <c r="AI250" s="181"/>
      <c r="AJ250" s="181"/>
      <c r="AK250" s="181"/>
      <c r="AL250" s="181"/>
      <c r="AM250" s="181"/>
      <c r="AN250" s="181"/>
      <c r="AO250" s="181"/>
      <c r="AP250" s="181"/>
      <c r="AQ250" s="181"/>
    </row>
    <row r="251" spans="1:43">
      <c r="A251" s="186"/>
      <c r="B251" s="186"/>
      <c r="C251" s="186"/>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1"/>
      <c r="AB251" s="181"/>
      <c r="AC251" s="181"/>
      <c r="AD251" s="181"/>
      <c r="AE251" s="181"/>
      <c r="AF251" s="181"/>
      <c r="AG251" s="181"/>
      <c r="AH251" s="181"/>
      <c r="AI251" s="181"/>
      <c r="AJ251" s="181"/>
      <c r="AK251" s="181"/>
      <c r="AL251" s="181"/>
      <c r="AM251" s="181"/>
      <c r="AN251" s="181"/>
      <c r="AO251" s="181"/>
      <c r="AP251" s="181"/>
      <c r="AQ251" s="181"/>
    </row>
    <row r="252" spans="1:43">
      <c r="A252" s="186"/>
      <c r="B252" s="186"/>
      <c r="C252" s="186"/>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c r="AA252" s="181"/>
      <c r="AB252" s="181"/>
      <c r="AC252" s="181"/>
      <c r="AD252" s="181"/>
      <c r="AE252" s="181"/>
      <c r="AF252" s="181"/>
      <c r="AG252" s="181"/>
      <c r="AH252" s="181"/>
      <c r="AI252" s="181"/>
      <c r="AJ252" s="181"/>
      <c r="AK252" s="181"/>
      <c r="AL252" s="181"/>
      <c r="AM252" s="181"/>
      <c r="AN252" s="181"/>
      <c r="AO252" s="181"/>
      <c r="AP252" s="181"/>
      <c r="AQ252" s="181"/>
    </row>
    <row r="253" spans="1:43">
      <c r="A253" s="186"/>
      <c r="B253" s="186"/>
      <c r="C253" s="186"/>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c r="AA253" s="181"/>
      <c r="AB253" s="181"/>
      <c r="AC253" s="181"/>
      <c r="AD253" s="181"/>
      <c r="AE253" s="181"/>
      <c r="AF253" s="181"/>
      <c r="AG253" s="181"/>
      <c r="AH253" s="181"/>
      <c r="AI253" s="181"/>
      <c r="AJ253" s="181"/>
      <c r="AK253" s="181"/>
      <c r="AL253" s="181"/>
      <c r="AM253" s="181"/>
      <c r="AN253" s="181"/>
      <c r="AO253" s="181"/>
      <c r="AP253" s="181"/>
      <c r="AQ253" s="181"/>
    </row>
    <row r="254" spans="1:43">
      <c r="A254" s="186"/>
      <c r="B254" s="186"/>
      <c r="C254" s="186"/>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1"/>
      <c r="AB254" s="181"/>
      <c r="AC254" s="181"/>
      <c r="AD254" s="181"/>
      <c r="AE254" s="181"/>
      <c r="AF254" s="181"/>
      <c r="AG254" s="181"/>
      <c r="AH254" s="181"/>
      <c r="AI254" s="181"/>
      <c r="AJ254" s="181"/>
      <c r="AK254" s="181"/>
      <c r="AL254" s="181"/>
      <c r="AM254" s="181"/>
      <c r="AN254" s="181"/>
      <c r="AO254" s="181"/>
      <c r="AP254" s="181"/>
      <c r="AQ254" s="181"/>
    </row>
    <row r="255" spans="1:43">
      <c r="A255" s="186"/>
      <c r="B255" s="186"/>
      <c r="C255" s="186"/>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1"/>
      <c r="AB255" s="181"/>
      <c r="AC255" s="181"/>
      <c r="AD255" s="181"/>
      <c r="AE255" s="181"/>
      <c r="AF255" s="181"/>
      <c r="AG255" s="181"/>
      <c r="AH255" s="181"/>
      <c r="AI255" s="181"/>
      <c r="AJ255" s="181"/>
      <c r="AK255" s="181"/>
      <c r="AL255" s="181"/>
      <c r="AM255" s="181"/>
      <c r="AN255" s="181"/>
      <c r="AO255" s="181"/>
      <c r="AP255" s="181"/>
      <c r="AQ255" s="181"/>
    </row>
    <row r="256" spans="1:43">
      <c r="A256" s="186"/>
      <c r="B256" s="186"/>
      <c r="C256" s="186"/>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1"/>
      <c r="AB256" s="181"/>
      <c r="AC256" s="181"/>
      <c r="AD256" s="181"/>
      <c r="AE256" s="181"/>
      <c r="AF256" s="181"/>
      <c r="AG256" s="181"/>
      <c r="AH256" s="181"/>
      <c r="AI256" s="181"/>
      <c r="AJ256" s="181"/>
      <c r="AK256" s="181"/>
      <c r="AL256" s="181"/>
      <c r="AM256" s="181"/>
      <c r="AN256" s="181"/>
      <c r="AO256" s="181"/>
      <c r="AP256" s="181"/>
      <c r="AQ256" s="181"/>
    </row>
    <row r="257" spans="1:43">
      <c r="A257" s="186"/>
      <c r="B257" s="186"/>
      <c r="C257" s="186"/>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1"/>
      <c r="AB257" s="181"/>
      <c r="AC257" s="181"/>
      <c r="AD257" s="181"/>
      <c r="AE257" s="181"/>
      <c r="AF257" s="181"/>
      <c r="AG257" s="181"/>
      <c r="AH257" s="181"/>
      <c r="AI257" s="181"/>
      <c r="AJ257" s="181"/>
      <c r="AK257" s="181"/>
      <c r="AL257" s="181"/>
      <c r="AM257" s="181"/>
      <c r="AN257" s="181"/>
      <c r="AO257" s="181"/>
      <c r="AP257" s="181"/>
      <c r="AQ257" s="181"/>
    </row>
    <row r="258" spans="1:43">
      <c r="A258" s="186"/>
      <c r="B258" s="186"/>
      <c r="C258" s="186"/>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1"/>
      <c r="AB258" s="181"/>
      <c r="AC258" s="181"/>
      <c r="AD258" s="181"/>
      <c r="AE258" s="181"/>
      <c r="AF258" s="181"/>
      <c r="AG258" s="181"/>
      <c r="AH258" s="181"/>
      <c r="AI258" s="181"/>
      <c r="AJ258" s="181"/>
      <c r="AK258" s="181"/>
      <c r="AL258" s="181"/>
      <c r="AM258" s="181"/>
      <c r="AN258" s="181"/>
      <c r="AO258" s="181"/>
      <c r="AP258" s="181"/>
      <c r="AQ258" s="181"/>
    </row>
    <row r="259" spans="1:43">
      <c r="A259" s="186"/>
      <c r="B259" s="186"/>
      <c r="C259" s="186"/>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1"/>
      <c r="AB259" s="181"/>
      <c r="AC259" s="181"/>
      <c r="AD259" s="181"/>
      <c r="AE259" s="181"/>
      <c r="AF259" s="181"/>
      <c r="AG259" s="181"/>
      <c r="AH259" s="181"/>
      <c r="AI259" s="181"/>
      <c r="AJ259" s="181"/>
      <c r="AK259" s="181"/>
      <c r="AL259" s="181"/>
      <c r="AM259" s="181"/>
      <c r="AN259" s="181"/>
      <c r="AO259" s="181"/>
      <c r="AP259" s="181"/>
      <c r="AQ259" s="181"/>
    </row>
    <row r="260" spans="1:43">
      <c r="A260" s="186"/>
      <c r="B260" s="186"/>
      <c r="C260" s="186"/>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1"/>
      <c r="AB260" s="181"/>
      <c r="AC260" s="181"/>
      <c r="AD260" s="181"/>
      <c r="AE260" s="181"/>
      <c r="AF260" s="181"/>
      <c r="AG260" s="181"/>
      <c r="AH260" s="181"/>
      <c r="AI260" s="181"/>
      <c r="AJ260" s="181"/>
      <c r="AK260" s="181"/>
      <c r="AL260" s="181"/>
      <c r="AM260" s="181"/>
      <c r="AN260" s="181"/>
      <c r="AO260" s="181"/>
      <c r="AP260" s="181"/>
      <c r="AQ260" s="181"/>
    </row>
    <row r="261" spans="1:43">
      <c r="A261" s="186"/>
      <c r="B261" s="186"/>
      <c r="C261" s="186"/>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1"/>
      <c r="AB261" s="181"/>
      <c r="AC261" s="181"/>
      <c r="AD261" s="181"/>
      <c r="AE261" s="181"/>
      <c r="AF261" s="181"/>
      <c r="AG261" s="181"/>
      <c r="AH261" s="181"/>
      <c r="AI261" s="181"/>
      <c r="AJ261" s="181"/>
      <c r="AK261" s="181"/>
      <c r="AL261" s="181"/>
      <c r="AM261" s="181"/>
      <c r="AN261" s="181"/>
      <c r="AO261" s="181"/>
      <c r="AP261" s="181"/>
      <c r="AQ261" s="181"/>
    </row>
    <row r="262" spans="1:43">
      <c r="A262" s="186"/>
      <c r="B262" s="186"/>
      <c r="C262" s="186"/>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1"/>
      <c r="AB262" s="181"/>
      <c r="AC262" s="181"/>
      <c r="AD262" s="181"/>
      <c r="AE262" s="181"/>
      <c r="AF262" s="181"/>
      <c r="AG262" s="181"/>
      <c r="AH262" s="181"/>
      <c r="AI262" s="181"/>
      <c r="AJ262" s="181"/>
      <c r="AK262" s="181"/>
      <c r="AL262" s="181"/>
      <c r="AM262" s="181"/>
      <c r="AN262" s="181"/>
      <c r="AO262" s="181"/>
      <c r="AP262" s="181"/>
      <c r="AQ262" s="181"/>
    </row>
    <row r="263" spans="1:43">
      <c r="A263" s="186"/>
      <c r="B263" s="186"/>
      <c r="C263" s="186"/>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1"/>
      <c r="AB263" s="181"/>
      <c r="AC263" s="181"/>
      <c r="AD263" s="181"/>
      <c r="AE263" s="181"/>
      <c r="AF263" s="181"/>
      <c r="AG263" s="181"/>
      <c r="AH263" s="181"/>
      <c r="AI263" s="181"/>
      <c r="AJ263" s="181"/>
      <c r="AK263" s="181"/>
      <c r="AL263" s="181"/>
      <c r="AM263" s="181"/>
      <c r="AN263" s="181"/>
      <c r="AO263" s="181"/>
      <c r="AP263" s="181"/>
      <c r="AQ263" s="181"/>
    </row>
    <row r="264" spans="1:43">
      <c r="A264" s="186"/>
      <c r="B264" s="186"/>
      <c r="C264" s="186"/>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1"/>
      <c r="AB264" s="181"/>
      <c r="AC264" s="181"/>
      <c r="AD264" s="181"/>
      <c r="AE264" s="181"/>
      <c r="AF264" s="181"/>
      <c r="AG264" s="181"/>
      <c r="AH264" s="181"/>
      <c r="AI264" s="181"/>
      <c r="AJ264" s="181"/>
      <c r="AK264" s="181"/>
      <c r="AL264" s="181"/>
      <c r="AM264" s="181"/>
      <c r="AN264" s="181"/>
      <c r="AO264" s="181"/>
      <c r="AP264" s="181"/>
      <c r="AQ264" s="181"/>
    </row>
    <row r="265" spans="1:43">
      <c r="A265" s="186"/>
      <c r="B265" s="186"/>
      <c r="C265" s="186"/>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1"/>
      <c r="AB265" s="181"/>
      <c r="AC265" s="181"/>
      <c r="AD265" s="181"/>
      <c r="AE265" s="181"/>
      <c r="AF265" s="181"/>
      <c r="AG265" s="181"/>
      <c r="AH265" s="181"/>
      <c r="AI265" s="181"/>
      <c r="AJ265" s="181"/>
      <c r="AK265" s="181"/>
      <c r="AL265" s="181"/>
      <c r="AM265" s="181"/>
      <c r="AN265" s="181"/>
      <c r="AO265" s="181"/>
      <c r="AP265" s="181"/>
      <c r="AQ265" s="181"/>
    </row>
    <row r="266" spans="1:43">
      <c r="A266" s="186"/>
      <c r="B266" s="186"/>
      <c r="C266" s="186"/>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1"/>
      <c r="AB266" s="181"/>
      <c r="AC266" s="181"/>
      <c r="AD266" s="181"/>
      <c r="AE266" s="181"/>
      <c r="AF266" s="181"/>
      <c r="AG266" s="181"/>
      <c r="AH266" s="181"/>
      <c r="AI266" s="181"/>
      <c r="AJ266" s="181"/>
      <c r="AK266" s="181"/>
      <c r="AL266" s="181"/>
      <c r="AM266" s="181"/>
      <c r="AN266" s="181"/>
      <c r="AO266" s="181"/>
      <c r="AP266" s="181"/>
      <c r="AQ266" s="181"/>
    </row>
    <row r="267" spans="1:43">
      <c r="A267" s="186"/>
      <c r="B267" s="186"/>
      <c r="C267" s="186"/>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1"/>
      <c r="AB267" s="181"/>
      <c r="AC267" s="181"/>
      <c r="AD267" s="181"/>
      <c r="AE267" s="181"/>
      <c r="AF267" s="181"/>
      <c r="AG267" s="181"/>
      <c r="AH267" s="181"/>
      <c r="AI267" s="181"/>
      <c r="AJ267" s="181"/>
      <c r="AK267" s="181"/>
      <c r="AL267" s="181"/>
      <c r="AM267" s="181"/>
      <c r="AN267" s="181"/>
      <c r="AO267" s="181"/>
      <c r="AP267" s="181"/>
      <c r="AQ267" s="181"/>
    </row>
    <row r="268" spans="1:43">
      <c r="A268" s="186"/>
      <c r="B268" s="186"/>
      <c r="C268" s="186"/>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1"/>
      <c r="AB268" s="181"/>
      <c r="AC268" s="181"/>
      <c r="AD268" s="181"/>
      <c r="AE268" s="181"/>
      <c r="AF268" s="181"/>
      <c r="AG268" s="181"/>
      <c r="AH268" s="181"/>
      <c r="AI268" s="181"/>
      <c r="AJ268" s="181"/>
      <c r="AK268" s="181"/>
      <c r="AL268" s="181"/>
      <c r="AM268" s="181"/>
      <c r="AN268" s="181"/>
      <c r="AO268" s="181"/>
      <c r="AP268" s="181"/>
      <c r="AQ268" s="181"/>
    </row>
    <row r="269" spans="1:43">
      <c r="A269" s="186"/>
      <c r="B269" s="186"/>
      <c r="C269" s="186"/>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1"/>
      <c r="AB269" s="181"/>
      <c r="AC269" s="181"/>
      <c r="AD269" s="181"/>
      <c r="AE269" s="181"/>
      <c r="AF269" s="181"/>
      <c r="AG269" s="181"/>
      <c r="AH269" s="181"/>
      <c r="AI269" s="181"/>
      <c r="AJ269" s="181"/>
      <c r="AK269" s="181"/>
      <c r="AL269" s="181"/>
      <c r="AM269" s="181"/>
      <c r="AN269" s="181"/>
      <c r="AO269" s="181"/>
      <c r="AP269" s="181"/>
      <c r="AQ269" s="181"/>
    </row>
    <row r="270" spans="1:43">
      <c r="A270" s="186"/>
      <c r="B270" s="186"/>
      <c r="C270" s="186"/>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1"/>
      <c r="AB270" s="181"/>
      <c r="AC270" s="181"/>
      <c r="AD270" s="181"/>
      <c r="AE270" s="181"/>
      <c r="AF270" s="181"/>
      <c r="AG270" s="181"/>
      <c r="AH270" s="181"/>
      <c r="AI270" s="181"/>
      <c r="AJ270" s="181"/>
      <c r="AK270" s="181"/>
      <c r="AL270" s="181"/>
      <c r="AM270" s="181"/>
      <c r="AN270" s="181"/>
      <c r="AO270" s="181"/>
      <c r="AP270" s="181"/>
      <c r="AQ270" s="181"/>
    </row>
    <row r="271" spans="1:43">
      <c r="A271" s="186"/>
      <c r="B271" s="186"/>
      <c r="C271" s="186"/>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1"/>
      <c r="AB271" s="181"/>
      <c r="AC271" s="181"/>
      <c r="AD271" s="181"/>
      <c r="AE271" s="181"/>
      <c r="AF271" s="181"/>
      <c r="AG271" s="181"/>
      <c r="AH271" s="181"/>
      <c r="AI271" s="181"/>
      <c r="AJ271" s="181"/>
      <c r="AK271" s="181"/>
      <c r="AL271" s="181"/>
      <c r="AM271" s="181"/>
      <c r="AN271" s="181"/>
      <c r="AO271" s="181"/>
      <c r="AP271" s="181"/>
      <c r="AQ271" s="181"/>
    </row>
    <row r="272" spans="1:43">
      <c r="A272" s="186"/>
      <c r="B272" s="186"/>
      <c r="C272" s="186"/>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1"/>
      <c r="AB272" s="181"/>
      <c r="AC272" s="181"/>
      <c r="AD272" s="181"/>
      <c r="AE272" s="181"/>
      <c r="AF272" s="181"/>
      <c r="AG272" s="181"/>
      <c r="AH272" s="181"/>
      <c r="AI272" s="181"/>
      <c r="AJ272" s="181"/>
      <c r="AK272" s="181"/>
      <c r="AL272" s="181"/>
      <c r="AM272" s="181"/>
      <c r="AN272" s="181"/>
      <c r="AO272" s="181"/>
      <c r="AP272" s="181"/>
      <c r="AQ272" s="181"/>
    </row>
    <row r="273" spans="1:43">
      <c r="A273" s="186"/>
      <c r="B273" s="186"/>
      <c r="C273" s="186"/>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1"/>
      <c r="AB273" s="181"/>
      <c r="AC273" s="181"/>
      <c r="AD273" s="181"/>
      <c r="AE273" s="181"/>
      <c r="AF273" s="181"/>
      <c r="AG273" s="181"/>
      <c r="AH273" s="181"/>
      <c r="AI273" s="181"/>
      <c r="AJ273" s="181"/>
      <c r="AK273" s="181"/>
      <c r="AL273" s="181"/>
      <c r="AM273" s="181"/>
      <c r="AN273" s="181"/>
      <c r="AO273" s="181"/>
      <c r="AP273" s="181"/>
      <c r="AQ273" s="181"/>
    </row>
    <row r="274" spans="1:43">
      <c r="A274" s="186"/>
      <c r="B274" s="186"/>
      <c r="C274" s="186"/>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1"/>
      <c r="AB274" s="181"/>
      <c r="AC274" s="181"/>
      <c r="AD274" s="181"/>
      <c r="AE274" s="181"/>
      <c r="AF274" s="181"/>
      <c r="AG274" s="181"/>
      <c r="AH274" s="181"/>
      <c r="AI274" s="181"/>
      <c r="AJ274" s="181"/>
      <c r="AK274" s="181"/>
      <c r="AL274" s="181"/>
      <c r="AM274" s="181"/>
      <c r="AN274" s="181"/>
      <c r="AO274" s="181"/>
      <c r="AP274" s="181"/>
      <c r="AQ274" s="181"/>
    </row>
    <row r="275" spans="1:43">
      <c r="A275" s="186"/>
      <c r="B275" s="186"/>
      <c r="C275" s="186"/>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1"/>
      <c r="AB275" s="181"/>
      <c r="AC275" s="181"/>
      <c r="AD275" s="181"/>
      <c r="AE275" s="181"/>
      <c r="AF275" s="181"/>
      <c r="AG275" s="181"/>
      <c r="AH275" s="181"/>
      <c r="AI275" s="181"/>
      <c r="AJ275" s="181"/>
      <c r="AK275" s="181"/>
      <c r="AL275" s="181"/>
      <c r="AM275" s="181"/>
      <c r="AN275" s="181"/>
      <c r="AO275" s="181"/>
      <c r="AP275" s="181"/>
      <c r="AQ275" s="181"/>
    </row>
    <row r="276" spans="1:43">
      <c r="A276" s="186"/>
      <c r="B276" s="186"/>
      <c r="C276" s="186"/>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1"/>
      <c r="AB276" s="181"/>
      <c r="AC276" s="181"/>
      <c r="AD276" s="181"/>
      <c r="AE276" s="181"/>
      <c r="AF276" s="181"/>
      <c r="AG276" s="181"/>
      <c r="AH276" s="181"/>
      <c r="AI276" s="181"/>
      <c r="AJ276" s="181"/>
      <c r="AK276" s="181"/>
      <c r="AL276" s="181"/>
      <c r="AM276" s="181"/>
      <c r="AN276" s="181"/>
      <c r="AO276" s="181"/>
      <c r="AP276" s="181"/>
      <c r="AQ276" s="181"/>
    </row>
    <row r="277" spans="1:43">
      <c r="A277" s="186"/>
      <c r="B277" s="186"/>
      <c r="C277" s="186"/>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1"/>
      <c r="AB277" s="181"/>
      <c r="AC277" s="181"/>
      <c r="AD277" s="181"/>
      <c r="AE277" s="181"/>
      <c r="AF277" s="181"/>
      <c r="AG277" s="181"/>
      <c r="AH277" s="181"/>
      <c r="AI277" s="181"/>
      <c r="AJ277" s="181"/>
      <c r="AK277" s="181"/>
      <c r="AL277" s="181"/>
      <c r="AM277" s="181"/>
      <c r="AN277" s="181"/>
      <c r="AO277" s="181"/>
      <c r="AP277" s="181"/>
      <c r="AQ277" s="181"/>
    </row>
    <row r="278" spans="1:43">
      <c r="A278" s="186"/>
      <c r="B278" s="186"/>
      <c r="C278" s="186"/>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1"/>
      <c r="AB278" s="181"/>
      <c r="AC278" s="181"/>
      <c r="AD278" s="181"/>
      <c r="AE278" s="181"/>
      <c r="AF278" s="181"/>
      <c r="AG278" s="181"/>
      <c r="AH278" s="181"/>
      <c r="AI278" s="181"/>
      <c r="AJ278" s="181"/>
      <c r="AK278" s="181"/>
      <c r="AL278" s="181"/>
      <c r="AM278" s="181"/>
      <c r="AN278" s="181"/>
      <c r="AO278" s="181"/>
      <c r="AP278" s="181"/>
      <c r="AQ278" s="181"/>
    </row>
    <row r="279" spans="1:43">
      <c r="A279" s="186"/>
      <c r="B279" s="186"/>
      <c r="C279" s="186"/>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1"/>
      <c r="AB279" s="181"/>
      <c r="AC279" s="181"/>
      <c r="AD279" s="181"/>
      <c r="AE279" s="181"/>
      <c r="AF279" s="181"/>
      <c r="AG279" s="181"/>
      <c r="AH279" s="181"/>
      <c r="AI279" s="181"/>
      <c r="AJ279" s="181"/>
      <c r="AK279" s="181"/>
      <c r="AL279" s="181"/>
      <c r="AM279" s="181"/>
      <c r="AN279" s="181"/>
      <c r="AO279" s="181"/>
      <c r="AP279" s="181"/>
      <c r="AQ279" s="181"/>
    </row>
    <row r="280" spans="1:43">
      <c r="A280" s="186"/>
      <c r="B280" s="186"/>
      <c r="C280" s="186"/>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1"/>
      <c r="AB280" s="181"/>
      <c r="AC280" s="181"/>
      <c r="AD280" s="181"/>
      <c r="AE280" s="181"/>
      <c r="AF280" s="181"/>
      <c r="AG280" s="181"/>
      <c r="AH280" s="181"/>
      <c r="AI280" s="181"/>
      <c r="AJ280" s="181"/>
      <c r="AK280" s="181"/>
      <c r="AL280" s="181"/>
      <c r="AM280" s="181"/>
      <c r="AN280" s="181"/>
      <c r="AO280" s="181"/>
      <c r="AP280" s="181"/>
      <c r="AQ280" s="181"/>
    </row>
    <row r="281" spans="1:43">
      <c r="A281" s="186"/>
      <c r="B281" s="186"/>
      <c r="C281" s="186"/>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1"/>
      <c r="AB281" s="181"/>
      <c r="AC281" s="181"/>
      <c r="AD281" s="181"/>
      <c r="AE281" s="181"/>
      <c r="AF281" s="181"/>
      <c r="AG281" s="181"/>
      <c r="AH281" s="181"/>
      <c r="AI281" s="181"/>
      <c r="AJ281" s="181"/>
      <c r="AK281" s="181"/>
      <c r="AL281" s="181"/>
      <c r="AM281" s="181"/>
      <c r="AN281" s="181"/>
      <c r="AO281" s="181"/>
      <c r="AP281" s="181"/>
      <c r="AQ281" s="181"/>
    </row>
    <row r="282" spans="1:43">
      <c r="A282" s="186"/>
      <c r="B282" s="186"/>
      <c r="C282" s="186"/>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1"/>
      <c r="AB282" s="181"/>
      <c r="AC282" s="181"/>
      <c r="AD282" s="181"/>
      <c r="AE282" s="181"/>
      <c r="AF282" s="181"/>
      <c r="AG282" s="181"/>
      <c r="AH282" s="181"/>
      <c r="AI282" s="181"/>
      <c r="AJ282" s="181"/>
      <c r="AK282" s="181"/>
      <c r="AL282" s="181"/>
      <c r="AM282" s="181"/>
      <c r="AN282" s="181"/>
      <c r="AO282" s="181"/>
      <c r="AP282" s="181"/>
      <c r="AQ282" s="181"/>
    </row>
    <row r="283" spans="1:43">
      <c r="A283" s="186"/>
      <c r="B283" s="186"/>
      <c r="C283" s="186"/>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1"/>
      <c r="AB283" s="181"/>
      <c r="AC283" s="181"/>
      <c r="AD283" s="181"/>
      <c r="AE283" s="181"/>
      <c r="AF283" s="181"/>
      <c r="AG283" s="181"/>
      <c r="AH283" s="181"/>
      <c r="AI283" s="181"/>
      <c r="AJ283" s="181"/>
      <c r="AK283" s="181"/>
      <c r="AL283" s="181"/>
      <c r="AM283" s="181"/>
      <c r="AN283" s="181"/>
      <c r="AO283" s="181"/>
      <c r="AP283" s="181"/>
      <c r="AQ283" s="181"/>
    </row>
    <row r="284" spans="1:43">
      <c r="A284" s="186"/>
      <c r="B284" s="186"/>
      <c r="C284" s="186"/>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1"/>
      <c r="AB284" s="181"/>
      <c r="AC284" s="181"/>
      <c r="AD284" s="181"/>
      <c r="AE284" s="181"/>
      <c r="AF284" s="181"/>
      <c r="AG284" s="181"/>
      <c r="AH284" s="181"/>
      <c r="AI284" s="181"/>
      <c r="AJ284" s="181"/>
      <c r="AK284" s="181"/>
      <c r="AL284" s="181"/>
      <c r="AM284" s="181"/>
      <c r="AN284" s="181"/>
      <c r="AO284" s="181"/>
      <c r="AP284" s="181"/>
      <c r="AQ284" s="181"/>
    </row>
    <row r="285" spans="1:43">
      <c r="A285" s="186"/>
      <c r="B285" s="186"/>
      <c r="C285" s="186"/>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1"/>
      <c r="AB285" s="181"/>
      <c r="AC285" s="181"/>
      <c r="AD285" s="181"/>
      <c r="AE285" s="181"/>
      <c r="AF285" s="181"/>
      <c r="AG285" s="181"/>
      <c r="AH285" s="181"/>
      <c r="AI285" s="181"/>
      <c r="AJ285" s="181"/>
      <c r="AK285" s="181"/>
      <c r="AL285" s="181"/>
      <c r="AM285" s="181"/>
      <c r="AN285" s="181"/>
      <c r="AO285" s="181"/>
      <c r="AP285" s="181"/>
      <c r="AQ285" s="181"/>
    </row>
    <row r="286" spans="1:43">
      <c r="A286" s="186"/>
      <c r="B286" s="186"/>
      <c r="C286" s="186"/>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c r="AA286" s="181"/>
      <c r="AB286" s="181"/>
      <c r="AC286" s="181"/>
      <c r="AD286" s="181"/>
      <c r="AE286" s="181"/>
      <c r="AF286" s="181"/>
      <c r="AG286" s="181"/>
      <c r="AH286" s="181"/>
      <c r="AI286" s="181"/>
      <c r="AJ286" s="181"/>
      <c r="AK286" s="181"/>
      <c r="AL286" s="181"/>
      <c r="AM286" s="181"/>
      <c r="AN286" s="181"/>
      <c r="AO286" s="181"/>
      <c r="AP286" s="181"/>
      <c r="AQ286" s="181"/>
    </row>
    <row r="287" spans="1:43">
      <c r="A287" s="186"/>
      <c r="B287" s="186"/>
      <c r="C287" s="186"/>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1"/>
      <c r="AB287" s="181"/>
      <c r="AC287" s="181"/>
      <c r="AD287" s="181"/>
      <c r="AE287" s="181"/>
      <c r="AF287" s="181"/>
      <c r="AG287" s="181"/>
      <c r="AH287" s="181"/>
      <c r="AI287" s="181"/>
      <c r="AJ287" s="181"/>
      <c r="AK287" s="181"/>
      <c r="AL287" s="181"/>
      <c r="AM287" s="181"/>
      <c r="AN287" s="181"/>
      <c r="AO287" s="181"/>
      <c r="AP287" s="181"/>
      <c r="AQ287" s="181"/>
    </row>
    <row r="288" spans="1:43">
      <c r="A288" s="186"/>
      <c r="B288" s="186"/>
      <c r="C288" s="186"/>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1"/>
      <c r="AB288" s="181"/>
      <c r="AC288" s="181"/>
      <c r="AD288" s="181"/>
      <c r="AE288" s="181"/>
      <c r="AF288" s="181"/>
      <c r="AG288" s="181"/>
      <c r="AH288" s="181"/>
      <c r="AI288" s="181"/>
      <c r="AJ288" s="181"/>
      <c r="AK288" s="181"/>
      <c r="AL288" s="181"/>
      <c r="AM288" s="181"/>
      <c r="AN288" s="181"/>
      <c r="AO288" s="181"/>
      <c r="AP288" s="181"/>
      <c r="AQ288" s="181"/>
    </row>
    <row r="289" spans="1:43">
      <c r="A289" s="186"/>
      <c r="B289" s="186"/>
      <c r="C289" s="186"/>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c r="AA289" s="181"/>
      <c r="AB289" s="181"/>
      <c r="AC289" s="181"/>
      <c r="AD289" s="181"/>
      <c r="AE289" s="181"/>
      <c r="AF289" s="181"/>
      <c r="AG289" s="181"/>
      <c r="AH289" s="181"/>
      <c r="AI289" s="181"/>
      <c r="AJ289" s="181"/>
      <c r="AK289" s="181"/>
      <c r="AL289" s="181"/>
      <c r="AM289" s="181"/>
      <c r="AN289" s="181"/>
      <c r="AO289" s="181"/>
      <c r="AP289" s="181"/>
      <c r="AQ289" s="181"/>
    </row>
    <row r="290" spans="1:43">
      <c r="A290" s="186"/>
      <c r="B290" s="186"/>
      <c r="C290" s="186"/>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1"/>
      <c r="AB290" s="181"/>
      <c r="AC290" s="181"/>
      <c r="AD290" s="181"/>
      <c r="AE290" s="181"/>
      <c r="AF290" s="181"/>
      <c r="AG290" s="181"/>
      <c r="AH290" s="181"/>
      <c r="AI290" s="181"/>
      <c r="AJ290" s="181"/>
      <c r="AK290" s="181"/>
      <c r="AL290" s="181"/>
      <c r="AM290" s="181"/>
      <c r="AN290" s="181"/>
      <c r="AO290" s="181"/>
      <c r="AP290" s="181"/>
      <c r="AQ290" s="181"/>
    </row>
    <row r="291" spans="1:43">
      <c r="A291" s="186"/>
      <c r="B291" s="186"/>
      <c r="C291" s="186"/>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1"/>
      <c r="AB291" s="181"/>
      <c r="AC291" s="181"/>
      <c r="AD291" s="181"/>
      <c r="AE291" s="181"/>
      <c r="AF291" s="181"/>
      <c r="AG291" s="181"/>
      <c r="AH291" s="181"/>
      <c r="AI291" s="181"/>
      <c r="AJ291" s="181"/>
      <c r="AK291" s="181"/>
      <c r="AL291" s="181"/>
      <c r="AM291" s="181"/>
      <c r="AN291" s="181"/>
      <c r="AO291" s="181"/>
      <c r="AP291" s="181"/>
      <c r="AQ291" s="181"/>
    </row>
    <row r="292" spans="1:43">
      <c r="A292" s="186"/>
      <c r="B292" s="186"/>
      <c r="C292" s="186"/>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1"/>
      <c r="AB292" s="181"/>
      <c r="AC292" s="181"/>
      <c r="AD292" s="181"/>
      <c r="AE292" s="181"/>
      <c r="AF292" s="181"/>
      <c r="AG292" s="181"/>
      <c r="AH292" s="181"/>
      <c r="AI292" s="181"/>
      <c r="AJ292" s="181"/>
      <c r="AK292" s="181"/>
      <c r="AL292" s="181"/>
      <c r="AM292" s="181"/>
      <c r="AN292" s="181"/>
      <c r="AO292" s="181"/>
      <c r="AP292" s="181"/>
      <c r="AQ292" s="181"/>
    </row>
    <row r="293" spans="1:43">
      <c r="A293" s="186"/>
      <c r="B293" s="186"/>
      <c r="C293" s="186"/>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c r="AA293" s="181"/>
      <c r="AB293" s="181"/>
      <c r="AC293" s="181"/>
      <c r="AD293" s="181"/>
      <c r="AE293" s="181"/>
      <c r="AF293" s="181"/>
      <c r="AG293" s="181"/>
      <c r="AH293" s="181"/>
      <c r="AI293" s="181"/>
      <c r="AJ293" s="181"/>
      <c r="AK293" s="181"/>
      <c r="AL293" s="181"/>
      <c r="AM293" s="181"/>
      <c r="AN293" s="181"/>
      <c r="AO293" s="181"/>
      <c r="AP293" s="181"/>
      <c r="AQ293" s="181"/>
    </row>
    <row r="294" spans="1:43">
      <c r="A294" s="186"/>
      <c r="B294" s="186"/>
      <c r="C294" s="186"/>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1"/>
      <c r="AB294" s="181"/>
      <c r="AC294" s="181"/>
      <c r="AD294" s="181"/>
      <c r="AE294" s="181"/>
      <c r="AF294" s="181"/>
      <c r="AG294" s="181"/>
      <c r="AH294" s="181"/>
      <c r="AI294" s="181"/>
      <c r="AJ294" s="181"/>
      <c r="AK294" s="181"/>
      <c r="AL294" s="181"/>
      <c r="AM294" s="181"/>
      <c r="AN294" s="181"/>
      <c r="AO294" s="181"/>
      <c r="AP294" s="181"/>
      <c r="AQ294" s="181"/>
    </row>
    <row r="295" spans="1:43">
      <c r="A295" s="186"/>
      <c r="B295" s="186"/>
      <c r="C295" s="186"/>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1"/>
      <c r="AB295" s="181"/>
      <c r="AC295" s="181"/>
      <c r="AD295" s="181"/>
      <c r="AE295" s="181"/>
      <c r="AF295" s="181"/>
      <c r="AG295" s="181"/>
      <c r="AH295" s="181"/>
      <c r="AI295" s="181"/>
      <c r="AJ295" s="181"/>
      <c r="AK295" s="181"/>
      <c r="AL295" s="181"/>
      <c r="AM295" s="181"/>
      <c r="AN295" s="181"/>
      <c r="AO295" s="181"/>
      <c r="AP295" s="181"/>
      <c r="AQ295" s="181"/>
    </row>
    <row r="296" spans="1:43">
      <c r="A296" s="186"/>
      <c r="B296" s="186"/>
      <c r="C296" s="186"/>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1"/>
      <c r="AB296" s="181"/>
      <c r="AC296" s="181"/>
      <c r="AD296" s="181"/>
      <c r="AE296" s="181"/>
      <c r="AF296" s="181"/>
      <c r="AG296" s="181"/>
      <c r="AH296" s="181"/>
      <c r="AI296" s="181"/>
      <c r="AJ296" s="181"/>
      <c r="AK296" s="181"/>
      <c r="AL296" s="181"/>
      <c r="AM296" s="181"/>
      <c r="AN296" s="181"/>
      <c r="AO296" s="181"/>
      <c r="AP296" s="181"/>
      <c r="AQ296" s="181"/>
    </row>
    <row r="297" spans="1:43">
      <c r="A297" s="186"/>
      <c r="B297" s="186"/>
      <c r="C297" s="186"/>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1"/>
      <c r="AB297" s="181"/>
      <c r="AC297" s="181"/>
      <c r="AD297" s="181"/>
      <c r="AE297" s="181"/>
      <c r="AF297" s="181"/>
      <c r="AG297" s="181"/>
      <c r="AH297" s="181"/>
      <c r="AI297" s="181"/>
      <c r="AJ297" s="181"/>
      <c r="AK297" s="181"/>
      <c r="AL297" s="181"/>
      <c r="AM297" s="181"/>
      <c r="AN297" s="181"/>
      <c r="AO297" s="181"/>
      <c r="AP297" s="181"/>
      <c r="AQ297" s="181"/>
    </row>
    <row r="298" spans="1:43">
      <c r="A298" s="186"/>
      <c r="B298" s="186"/>
      <c r="C298" s="186"/>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1"/>
      <c r="AB298" s="181"/>
      <c r="AC298" s="181"/>
      <c r="AD298" s="181"/>
      <c r="AE298" s="181"/>
      <c r="AF298" s="181"/>
      <c r="AG298" s="181"/>
      <c r="AH298" s="181"/>
      <c r="AI298" s="181"/>
      <c r="AJ298" s="181"/>
      <c r="AK298" s="181"/>
      <c r="AL298" s="181"/>
      <c r="AM298" s="181"/>
      <c r="AN298" s="181"/>
      <c r="AO298" s="181"/>
      <c r="AP298" s="181"/>
      <c r="AQ298" s="181"/>
    </row>
    <row r="299" spans="1:43">
      <c r="A299" s="186"/>
      <c r="B299" s="186"/>
      <c r="C299" s="186"/>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c r="AA299" s="181"/>
      <c r="AB299" s="181"/>
      <c r="AC299" s="181"/>
      <c r="AD299" s="181"/>
      <c r="AE299" s="181"/>
      <c r="AF299" s="181"/>
      <c r="AG299" s="181"/>
      <c r="AH299" s="181"/>
      <c r="AI299" s="181"/>
      <c r="AJ299" s="181"/>
      <c r="AK299" s="181"/>
      <c r="AL299" s="181"/>
      <c r="AM299" s="181"/>
      <c r="AN299" s="181"/>
      <c r="AO299" s="181"/>
      <c r="AP299" s="181"/>
      <c r="AQ299" s="181"/>
    </row>
    <row r="300" spans="1:43">
      <c r="A300" s="186"/>
      <c r="B300" s="186"/>
      <c r="C300" s="186"/>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c r="AA300" s="181"/>
      <c r="AB300" s="181"/>
      <c r="AC300" s="181"/>
      <c r="AD300" s="181"/>
      <c r="AE300" s="181"/>
      <c r="AF300" s="181"/>
      <c r="AG300" s="181"/>
      <c r="AH300" s="181"/>
      <c r="AI300" s="181"/>
      <c r="AJ300" s="181"/>
      <c r="AK300" s="181"/>
      <c r="AL300" s="181"/>
      <c r="AM300" s="181"/>
      <c r="AN300" s="181"/>
      <c r="AO300" s="181"/>
      <c r="AP300" s="181"/>
      <c r="AQ300" s="181"/>
    </row>
    <row r="301" spans="1:43">
      <c r="A301" s="186"/>
      <c r="B301" s="186"/>
      <c r="C301" s="186"/>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c r="AA301" s="181"/>
      <c r="AB301" s="181"/>
      <c r="AC301" s="181"/>
      <c r="AD301" s="181"/>
      <c r="AE301" s="181"/>
      <c r="AF301" s="181"/>
      <c r="AG301" s="181"/>
      <c r="AH301" s="181"/>
      <c r="AI301" s="181"/>
      <c r="AJ301" s="181"/>
      <c r="AK301" s="181"/>
      <c r="AL301" s="181"/>
      <c r="AM301" s="181"/>
      <c r="AN301" s="181"/>
      <c r="AO301" s="181"/>
      <c r="AP301" s="181"/>
      <c r="AQ301" s="181"/>
    </row>
    <row r="302" spans="1:43">
      <c r="A302" s="186"/>
      <c r="B302" s="186"/>
      <c r="C302" s="186"/>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1"/>
      <c r="AB302" s="181"/>
      <c r="AC302" s="181"/>
      <c r="AD302" s="181"/>
      <c r="AE302" s="181"/>
      <c r="AF302" s="181"/>
      <c r="AG302" s="181"/>
      <c r="AH302" s="181"/>
      <c r="AI302" s="181"/>
      <c r="AJ302" s="181"/>
      <c r="AK302" s="181"/>
      <c r="AL302" s="181"/>
      <c r="AM302" s="181"/>
      <c r="AN302" s="181"/>
      <c r="AO302" s="181"/>
      <c r="AP302" s="181"/>
      <c r="AQ302" s="181"/>
    </row>
    <row r="303" spans="1:43">
      <c r="A303" s="186"/>
      <c r="B303" s="186"/>
      <c r="C303" s="186"/>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c r="AA303" s="181"/>
      <c r="AB303" s="181"/>
      <c r="AC303" s="181"/>
      <c r="AD303" s="181"/>
      <c r="AE303" s="181"/>
      <c r="AF303" s="181"/>
      <c r="AG303" s="181"/>
      <c r="AH303" s="181"/>
      <c r="AI303" s="181"/>
      <c r="AJ303" s="181"/>
      <c r="AK303" s="181"/>
      <c r="AL303" s="181"/>
      <c r="AM303" s="181"/>
      <c r="AN303" s="181"/>
      <c r="AO303" s="181"/>
      <c r="AP303" s="181"/>
      <c r="AQ303" s="181"/>
    </row>
    <row r="304" spans="1:43">
      <c r="A304" s="186"/>
      <c r="B304" s="186"/>
      <c r="C304" s="186"/>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1"/>
      <c r="AB304" s="181"/>
      <c r="AC304" s="181"/>
      <c r="AD304" s="181"/>
      <c r="AE304" s="181"/>
      <c r="AF304" s="181"/>
      <c r="AG304" s="181"/>
      <c r="AH304" s="181"/>
      <c r="AI304" s="181"/>
      <c r="AJ304" s="181"/>
      <c r="AK304" s="181"/>
      <c r="AL304" s="181"/>
      <c r="AM304" s="181"/>
      <c r="AN304" s="181"/>
      <c r="AO304" s="181"/>
      <c r="AP304" s="181"/>
      <c r="AQ304" s="181"/>
    </row>
    <row r="305" spans="1:43">
      <c r="A305" s="186"/>
      <c r="B305" s="186"/>
      <c r="C305" s="186"/>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1"/>
      <c r="AB305" s="181"/>
      <c r="AC305" s="181"/>
      <c r="AD305" s="181"/>
      <c r="AE305" s="181"/>
      <c r="AF305" s="181"/>
      <c r="AG305" s="181"/>
      <c r="AH305" s="181"/>
      <c r="AI305" s="181"/>
      <c r="AJ305" s="181"/>
      <c r="AK305" s="181"/>
      <c r="AL305" s="181"/>
      <c r="AM305" s="181"/>
      <c r="AN305" s="181"/>
      <c r="AO305" s="181"/>
      <c r="AP305" s="181"/>
      <c r="AQ305" s="181"/>
    </row>
    <row r="306" spans="1:43">
      <c r="A306" s="186"/>
      <c r="B306" s="186"/>
      <c r="C306" s="186"/>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c r="AA306" s="181"/>
      <c r="AB306" s="181"/>
      <c r="AC306" s="181"/>
      <c r="AD306" s="181"/>
      <c r="AE306" s="181"/>
      <c r="AF306" s="181"/>
      <c r="AG306" s="181"/>
      <c r="AH306" s="181"/>
      <c r="AI306" s="181"/>
      <c r="AJ306" s="181"/>
      <c r="AK306" s="181"/>
      <c r="AL306" s="181"/>
      <c r="AM306" s="181"/>
      <c r="AN306" s="181"/>
      <c r="AO306" s="181"/>
      <c r="AP306" s="181"/>
      <c r="AQ306" s="181"/>
    </row>
    <row r="307" spans="1:43">
      <c r="A307" s="186"/>
      <c r="B307" s="186"/>
      <c r="C307" s="186"/>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1"/>
      <c r="AB307" s="181"/>
      <c r="AC307" s="181"/>
      <c r="AD307" s="181"/>
      <c r="AE307" s="181"/>
      <c r="AF307" s="181"/>
      <c r="AG307" s="181"/>
      <c r="AH307" s="181"/>
      <c r="AI307" s="181"/>
      <c r="AJ307" s="181"/>
      <c r="AK307" s="181"/>
      <c r="AL307" s="181"/>
      <c r="AM307" s="181"/>
      <c r="AN307" s="181"/>
      <c r="AO307" s="181"/>
      <c r="AP307" s="181"/>
      <c r="AQ307" s="181"/>
    </row>
    <row r="308" spans="1:43">
      <c r="A308" s="186"/>
      <c r="B308" s="186"/>
      <c r="C308" s="186"/>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1"/>
      <c r="AB308" s="181"/>
      <c r="AC308" s="181"/>
      <c r="AD308" s="181"/>
      <c r="AE308" s="181"/>
      <c r="AF308" s="181"/>
      <c r="AG308" s="181"/>
      <c r="AH308" s="181"/>
      <c r="AI308" s="181"/>
      <c r="AJ308" s="181"/>
      <c r="AK308" s="181"/>
      <c r="AL308" s="181"/>
      <c r="AM308" s="181"/>
      <c r="AN308" s="181"/>
      <c r="AO308" s="181"/>
      <c r="AP308" s="181"/>
      <c r="AQ308" s="181"/>
    </row>
    <row r="309" spans="1:43">
      <c r="A309" s="186"/>
      <c r="B309" s="186"/>
      <c r="C309" s="186"/>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1"/>
      <c r="AB309" s="181"/>
      <c r="AC309" s="181"/>
      <c r="AD309" s="181"/>
      <c r="AE309" s="181"/>
      <c r="AF309" s="181"/>
      <c r="AG309" s="181"/>
      <c r="AH309" s="181"/>
      <c r="AI309" s="181"/>
      <c r="AJ309" s="181"/>
      <c r="AK309" s="181"/>
      <c r="AL309" s="181"/>
      <c r="AM309" s="181"/>
      <c r="AN309" s="181"/>
      <c r="AO309" s="181"/>
      <c r="AP309" s="181"/>
      <c r="AQ309" s="181"/>
    </row>
    <row r="310" spans="1:43">
      <c r="A310" s="186"/>
      <c r="B310" s="186"/>
      <c r="C310" s="186"/>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1"/>
      <c r="AB310" s="181"/>
      <c r="AC310" s="181"/>
      <c r="AD310" s="181"/>
      <c r="AE310" s="181"/>
      <c r="AF310" s="181"/>
      <c r="AG310" s="181"/>
      <c r="AH310" s="181"/>
      <c r="AI310" s="181"/>
      <c r="AJ310" s="181"/>
      <c r="AK310" s="181"/>
      <c r="AL310" s="181"/>
      <c r="AM310" s="181"/>
      <c r="AN310" s="181"/>
      <c r="AO310" s="181"/>
      <c r="AP310" s="181"/>
      <c r="AQ310" s="181"/>
    </row>
    <row r="311" spans="1:43">
      <c r="A311" s="186"/>
      <c r="B311" s="186"/>
      <c r="C311" s="186"/>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1"/>
      <c r="AB311" s="181"/>
      <c r="AC311" s="181"/>
      <c r="AD311" s="181"/>
      <c r="AE311" s="181"/>
      <c r="AF311" s="181"/>
      <c r="AG311" s="181"/>
      <c r="AH311" s="181"/>
      <c r="AI311" s="181"/>
      <c r="AJ311" s="181"/>
      <c r="AK311" s="181"/>
      <c r="AL311" s="181"/>
      <c r="AM311" s="181"/>
      <c r="AN311" s="181"/>
      <c r="AO311" s="181"/>
      <c r="AP311" s="181"/>
      <c r="AQ311" s="181"/>
    </row>
    <row r="312" spans="1:43">
      <c r="A312" s="186"/>
      <c r="B312" s="186"/>
      <c r="C312" s="186"/>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1"/>
      <c r="AB312" s="181"/>
      <c r="AC312" s="181"/>
      <c r="AD312" s="181"/>
      <c r="AE312" s="181"/>
      <c r="AF312" s="181"/>
      <c r="AG312" s="181"/>
      <c r="AH312" s="181"/>
      <c r="AI312" s="181"/>
      <c r="AJ312" s="181"/>
      <c r="AK312" s="181"/>
      <c r="AL312" s="181"/>
      <c r="AM312" s="181"/>
      <c r="AN312" s="181"/>
      <c r="AO312" s="181"/>
      <c r="AP312" s="181"/>
      <c r="AQ312" s="181"/>
    </row>
    <row r="313" spans="1:43">
      <c r="A313" s="186"/>
      <c r="B313" s="186"/>
      <c r="C313" s="186"/>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1"/>
      <c r="AB313" s="181"/>
      <c r="AC313" s="181"/>
      <c r="AD313" s="181"/>
      <c r="AE313" s="181"/>
      <c r="AF313" s="181"/>
      <c r="AG313" s="181"/>
      <c r="AH313" s="181"/>
      <c r="AI313" s="181"/>
      <c r="AJ313" s="181"/>
      <c r="AK313" s="181"/>
      <c r="AL313" s="181"/>
      <c r="AM313" s="181"/>
      <c r="AN313" s="181"/>
      <c r="AO313" s="181"/>
      <c r="AP313" s="181"/>
      <c r="AQ313" s="181"/>
    </row>
    <row r="314" spans="1:43">
      <c r="A314" s="186"/>
      <c r="B314" s="186"/>
      <c r="C314" s="186"/>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1"/>
      <c r="AB314" s="181"/>
      <c r="AC314" s="181"/>
      <c r="AD314" s="181"/>
      <c r="AE314" s="181"/>
      <c r="AF314" s="181"/>
      <c r="AG314" s="181"/>
      <c r="AH314" s="181"/>
      <c r="AI314" s="181"/>
      <c r="AJ314" s="181"/>
      <c r="AK314" s="181"/>
      <c r="AL314" s="181"/>
      <c r="AM314" s="181"/>
      <c r="AN314" s="181"/>
      <c r="AO314" s="181"/>
      <c r="AP314" s="181"/>
      <c r="AQ314" s="181"/>
    </row>
    <row r="315" spans="1:43">
      <c r="A315" s="186"/>
      <c r="B315" s="186"/>
      <c r="C315" s="186"/>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1"/>
      <c r="AB315" s="181"/>
      <c r="AC315" s="181"/>
      <c r="AD315" s="181"/>
      <c r="AE315" s="181"/>
      <c r="AF315" s="181"/>
      <c r="AG315" s="181"/>
      <c r="AH315" s="181"/>
      <c r="AI315" s="181"/>
      <c r="AJ315" s="181"/>
      <c r="AK315" s="181"/>
      <c r="AL315" s="181"/>
      <c r="AM315" s="181"/>
      <c r="AN315" s="181"/>
      <c r="AO315" s="181"/>
      <c r="AP315" s="181"/>
      <c r="AQ315" s="181"/>
    </row>
    <row r="316" spans="1:43">
      <c r="A316" s="186"/>
      <c r="B316" s="186"/>
      <c r="C316" s="186"/>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1"/>
      <c r="AB316" s="181"/>
      <c r="AC316" s="181"/>
      <c r="AD316" s="181"/>
      <c r="AE316" s="181"/>
      <c r="AF316" s="181"/>
      <c r="AG316" s="181"/>
      <c r="AH316" s="181"/>
      <c r="AI316" s="181"/>
      <c r="AJ316" s="181"/>
      <c r="AK316" s="181"/>
      <c r="AL316" s="181"/>
      <c r="AM316" s="181"/>
      <c r="AN316" s="181"/>
      <c r="AO316" s="181"/>
      <c r="AP316" s="181"/>
      <c r="AQ316" s="181"/>
    </row>
    <row r="317" spans="1:43">
      <c r="A317" s="186"/>
      <c r="B317" s="186"/>
      <c r="C317" s="186"/>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1"/>
      <c r="AB317" s="181"/>
      <c r="AC317" s="181"/>
      <c r="AD317" s="181"/>
      <c r="AE317" s="181"/>
      <c r="AF317" s="181"/>
      <c r="AG317" s="181"/>
      <c r="AH317" s="181"/>
      <c r="AI317" s="181"/>
      <c r="AJ317" s="181"/>
      <c r="AK317" s="181"/>
      <c r="AL317" s="181"/>
      <c r="AM317" s="181"/>
      <c r="AN317" s="181"/>
      <c r="AO317" s="181"/>
      <c r="AP317" s="181"/>
      <c r="AQ317" s="181"/>
    </row>
    <row r="318" spans="1:43">
      <c r="A318" s="186"/>
      <c r="B318" s="186"/>
      <c r="C318" s="186"/>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1"/>
      <c r="AB318" s="181"/>
      <c r="AC318" s="181"/>
      <c r="AD318" s="181"/>
      <c r="AE318" s="181"/>
      <c r="AF318" s="181"/>
      <c r="AG318" s="181"/>
      <c r="AH318" s="181"/>
      <c r="AI318" s="181"/>
      <c r="AJ318" s="181"/>
      <c r="AK318" s="181"/>
      <c r="AL318" s="181"/>
      <c r="AM318" s="181"/>
      <c r="AN318" s="181"/>
      <c r="AO318" s="181"/>
      <c r="AP318" s="181"/>
      <c r="AQ318" s="181"/>
    </row>
    <row r="319" spans="1:43">
      <c r="A319" s="186"/>
      <c r="B319" s="186"/>
      <c r="C319" s="186"/>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1"/>
      <c r="AB319" s="181"/>
      <c r="AC319" s="181"/>
      <c r="AD319" s="181"/>
      <c r="AE319" s="181"/>
      <c r="AF319" s="181"/>
      <c r="AG319" s="181"/>
      <c r="AH319" s="181"/>
      <c r="AI319" s="181"/>
      <c r="AJ319" s="181"/>
      <c r="AK319" s="181"/>
      <c r="AL319" s="181"/>
      <c r="AM319" s="181"/>
      <c r="AN319" s="181"/>
      <c r="AO319" s="181"/>
      <c r="AP319" s="181"/>
      <c r="AQ319" s="181"/>
    </row>
    <row r="320" spans="1:43">
      <c r="A320" s="186"/>
      <c r="B320" s="186"/>
      <c r="C320" s="186"/>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1"/>
      <c r="AB320" s="181"/>
      <c r="AC320" s="181"/>
      <c r="AD320" s="181"/>
      <c r="AE320" s="181"/>
      <c r="AF320" s="181"/>
      <c r="AG320" s="181"/>
      <c r="AH320" s="181"/>
      <c r="AI320" s="181"/>
      <c r="AJ320" s="181"/>
      <c r="AK320" s="181"/>
      <c r="AL320" s="181"/>
      <c r="AM320" s="181"/>
      <c r="AN320" s="181"/>
      <c r="AO320" s="181"/>
      <c r="AP320" s="181"/>
      <c r="AQ320" s="181"/>
    </row>
    <row r="321" spans="1:43">
      <c r="A321" s="186"/>
      <c r="B321" s="186"/>
      <c r="C321" s="186"/>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1"/>
      <c r="AB321" s="181"/>
      <c r="AC321" s="181"/>
      <c r="AD321" s="181"/>
      <c r="AE321" s="181"/>
      <c r="AF321" s="181"/>
      <c r="AG321" s="181"/>
      <c r="AH321" s="181"/>
      <c r="AI321" s="181"/>
      <c r="AJ321" s="181"/>
      <c r="AK321" s="181"/>
      <c r="AL321" s="181"/>
      <c r="AM321" s="181"/>
      <c r="AN321" s="181"/>
      <c r="AO321" s="181"/>
      <c r="AP321" s="181"/>
      <c r="AQ321" s="181"/>
    </row>
    <row r="322" spans="1:43">
      <c r="A322" s="186"/>
      <c r="B322" s="186"/>
      <c r="C322" s="186"/>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1"/>
      <c r="AB322" s="181"/>
      <c r="AC322" s="181"/>
      <c r="AD322" s="181"/>
      <c r="AE322" s="181"/>
      <c r="AF322" s="181"/>
      <c r="AG322" s="181"/>
      <c r="AH322" s="181"/>
      <c r="AI322" s="181"/>
      <c r="AJ322" s="181"/>
      <c r="AK322" s="181"/>
      <c r="AL322" s="181"/>
      <c r="AM322" s="181"/>
      <c r="AN322" s="181"/>
      <c r="AO322" s="181"/>
      <c r="AP322" s="181"/>
      <c r="AQ322" s="181"/>
    </row>
    <row r="323" spans="1:43">
      <c r="A323" s="186"/>
      <c r="B323" s="186"/>
      <c r="C323" s="186"/>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1"/>
      <c r="AB323" s="181"/>
      <c r="AC323" s="181"/>
      <c r="AD323" s="181"/>
      <c r="AE323" s="181"/>
      <c r="AF323" s="181"/>
      <c r="AG323" s="181"/>
      <c r="AH323" s="181"/>
      <c r="AI323" s="181"/>
      <c r="AJ323" s="181"/>
      <c r="AK323" s="181"/>
      <c r="AL323" s="181"/>
      <c r="AM323" s="181"/>
      <c r="AN323" s="181"/>
      <c r="AO323" s="181"/>
      <c r="AP323" s="181"/>
      <c r="AQ323" s="181"/>
    </row>
    <row r="324" spans="1:43">
      <c r="A324" s="186"/>
      <c r="B324" s="186"/>
      <c r="C324" s="186"/>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1"/>
      <c r="AB324" s="181"/>
      <c r="AC324" s="181"/>
      <c r="AD324" s="181"/>
      <c r="AE324" s="181"/>
      <c r="AF324" s="181"/>
      <c r="AG324" s="181"/>
      <c r="AH324" s="181"/>
      <c r="AI324" s="181"/>
      <c r="AJ324" s="181"/>
      <c r="AK324" s="181"/>
      <c r="AL324" s="181"/>
      <c r="AM324" s="181"/>
      <c r="AN324" s="181"/>
      <c r="AO324" s="181"/>
      <c r="AP324" s="181"/>
      <c r="AQ324" s="181"/>
    </row>
    <row r="325" spans="1:43">
      <c r="A325" s="186"/>
      <c r="B325" s="186"/>
      <c r="C325" s="186"/>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1"/>
      <c r="AB325" s="181"/>
      <c r="AC325" s="181"/>
      <c r="AD325" s="181"/>
      <c r="AE325" s="181"/>
      <c r="AF325" s="181"/>
      <c r="AG325" s="181"/>
      <c r="AH325" s="181"/>
      <c r="AI325" s="181"/>
      <c r="AJ325" s="181"/>
      <c r="AK325" s="181"/>
      <c r="AL325" s="181"/>
      <c r="AM325" s="181"/>
      <c r="AN325" s="181"/>
      <c r="AO325" s="181"/>
      <c r="AP325" s="181"/>
      <c r="AQ325" s="181"/>
    </row>
    <row r="326" spans="1:43">
      <c r="A326" s="186"/>
      <c r="B326" s="186"/>
      <c r="C326" s="186"/>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1"/>
      <c r="AB326" s="181"/>
      <c r="AC326" s="181"/>
      <c r="AD326" s="181"/>
      <c r="AE326" s="181"/>
      <c r="AF326" s="181"/>
      <c r="AG326" s="181"/>
      <c r="AH326" s="181"/>
      <c r="AI326" s="181"/>
      <c r="AJ326" s="181"/>
      <c r="AK326" s="181"/>
      <c r="AL326" s="181"/>
      <c r="AM326" s="181"/>
      <c r="AN326" s="181"/>
      <c r="AO326" s="181"/>
      <c r="AP326" s="181"/>
      <c r="AQ326" s="181"/>
    </row>
    <row r="327" spans="1:43">
      <c r="A327" s="186"/>
      <c r="B327" s="186"/>
      <c r="C327" s="186"/>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1"/>
      <c r="AB327" s="181"/>
      <c r="AC327" s="181"/>
      <c r="AD327" s="181"/>
      <c r="AE327" s="181"/>
      <c r="AF327" s="181"/>
      <c r="AG327" s="181"/>
      <c r="AH327" s="181"/>
      <c r="AI327" s="181"/>
      <c r="AJ327" s="181"/>
      <c r="AK327" s="181"/>
      <c r="AL327" s="181"/>
      <c r="AM327" s="181"/>
      <c r="AN327" s="181"/>
      <c r="AO327" s="181"/>
      <c r="AP327" s="181"/>
      <c r="AQ327" s="181"/>
    </row>
    <row r="328" spans="1:43">
      <c r="A328" s="186"/>
      <c r="B328" s="186"/>
      <c r="C328" s="186"/>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1"/>
      <c r="AB328" s="181"/>
      <c r="AC328" s="181"/>
      <c r="AD328" s="181"/>
      <c r="AE328" s="181"/>
      <c r="AF328" s="181"/>
      <c r="AG328" s="181"/>
      <c r="AH328" s="181"/>
      <c r="AI328" s="181"/>
      <c r="AJ328" s="181"/>
      <c r="AK328" s="181"/>
      <c r="AL328" s="181"/>
      <c r="AM328" s="181"/>
      <c r="AN328" s="181"/>
      <c r="AO328" s="181"/>
      <c r="AP328" s="181"/>
      <c r="AQ328" s="181"/>
    </row>
    <row r="329" spans="1:43">
      <c r="A329" s="186"/>
      <c r="B329" s="186"/>
      <c r="C329" s="186"/>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1"/>
      <c r="AB329" s="181"/>
      <c r="AC329" s="181"/>
      <c r="AD329" s="181"/>
      <c r="AE329" s="181"/>
      <c r="AF329" s="181"/>
      <c r="AG329" s="181"/>
      <c r="AH329" s="181"/>
      <c r="AI329" s="181"/>
      <c r="AJ329" s="181"/>
      <c r="AK329" s="181"/>
      <c r="AL329" s="181"/>
      <c r="AM329" s="181"/>
      <c r="AN329" s="181"/>
      <c r="AO329" s="181"/>
      <c r="AP329" s="181"/>
      <c r="AQ329" s="181"/>
    </row>
    <row r="330" spans="1:43">
      <c r="A330" s="186"/>
      <c r="B330" s="186"/>
      <c r="C330" s="186"/>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1"/>
      <c r="AB330" s="181"/>
      <c r="AC330" s="181"/>
      <c r="AD330" s="181"/>
      <c r="AE330" s="181"/>
      <c r="AF330" s="181"/>
      <c r="AG330" s="181"/>
      <c r="AH330" s="181"/>
      <c r="AI330" s="181"/>
      <c r="AJ330" s="181"/>
      <c r="AK330" s="181"/>
      <c r="AL330" s="181"/>
      <c r="AM330" s="181"/>
      <c r="AN330" s="181"/>
      <c r="AO330" s="181"/>
      <c r="AP330" s="181"/>
      <c r="AQ330" s="181"/>
    </row>
    <row r="331" spans="1:43">
      <c r="A331" s="186"/>
      <c r="B331" s="186"/>
      <c r="C331" s="186"/>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1"/>
      <c r="AB331" s="181"/>
      <c r="AC331" s="181"/>
      <c r="AD331" s="181"/>
      <c r="AE331" s="181"/>
      <c r="AF331" s="181"/>
      <c r="AG331" s="181"/>
      <c r="AH331" s="181"/>
      <c r="AI331" s="181"/>
      <c r="AJ331" s="181"/>
      <c r="AK331" s="181"/>
      <c r="AL331" s="181"/>
      <c r="AM331" s="181"/>
      <c r="AN331" s="181"/>
      <c r="AO331" s="181"/>
      <c r="AP331" s="181"/>
      <c r="AQ331" s="181"/>
    </row>
    <row r="332" spans="1:43">
      <c r="A332" s="186"/>
      <c r="B332" s="186"/>
      <c r="C332" s="186"/>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1"/>
      <c r="AB332" s="181"/>
      <c r="AC332" s="181"/>
      <c r="AD332" s="181"/>
      <c r="AE332" s="181"/>
      <c r="AF332" s="181"/>
      <c r="AG332" s="181"/>
      <c r="AH332" s="181"/>
      <c r="AI332" s="181"/>
      <c r="AJ332" s="181"/>
      <c r="AK332" s="181"/>
      <c r="AL332" s="181"/>
      <c r="AM332" s="181"/>
      <c r="AN332" s="181"/>
      <c r="AO332" s="181"/>
      <c r="AP332" s="181"/>
      <c r="AQ332" s="181"/>
    </row>
    <row r="333" spans="1:43">
      <c r="A333" s="186"/>
      <c r="B333" s="186"/>
      <c r="C333" s="186"/>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1"/>
      <c r="AB333" s="181"/>
      <c r="AC333" s="181"/>
      <c r="AD333" s="181"/>
      <c r="AE333" s="181"/>
      <c r="AF333" s="181"/>
      <c r="AG333" s="181"/>
      <c r="AH333" s="181"/>
      <c r="AI333" s="181"/>
      <c r="AJ333" s="181"/>
      <c r="AK333" s="181"/>
      <c r="AL333" s="181"/>
      <c r="AM333" s="181"/>
      <c r="AN333" s="181"/>
      <c r="AO333" s="181"/>
      <c r="AP333" s="181"/>
      <c r="AQ333" s="181"/>
    </row>
    <row r="334" spans="1:43">
      <c r="A334" s="186"/>
      <c r="B334" s="186"/>
      <c r="C334" s="186"/>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1"/>
      <c r="AB334" s="181"/>
      <c r="AC334" s="181"/>
      <c r="AD334" s="181"/>
      <c r="AE334" s="181"/>
      <c r="AF334" s="181"/>
      <c r="AG334" s="181"/>
      <c r="AH334" s="181"/>
      <c r="AI334" s="181"/>
      <c r="AJ334" s="181"/>
      <c r="AK334" s="181"/>
      <c r="AL334" s="181"/>
      <c r="AM334" s="181"/>
      <c r="AN334" s="181"/>
      <c r="AO334" s="181"/>
      <c r="AP334" s="181"/>
      <c r="AQ334" s="181"/>
    </row>
    <row r="335" spans="1:43">
      <c r="A335" s="186"/>
      <c r="B335" s="186"/>
      <c r="C335" s="186"/>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1"/>
      <c r="AB335" s="181"/>
      <c r="AC335" s="181"/>
      <c r="AD335" s="181"/>
      <c r="AE335" s="181"/>
      <c r="AF335" s="181"/>
      <c r="AG335" s="181"/>
      <c r="AH335" s="181"/>
      <c r="AI335" s="181"/>
      <c r="AJ335" s="181"/>
      <c r="AK335" s="181"/>
      <c r="AL335" s="181"/>
      <c r="AM335" s="181"/>
      <c r="AN335" s="181"/>
      <c r="AO335" s="181"/>
      <c r="AP335" s="181"/>
      <c r="AQ335" s="181"/>
    </row>
    <row r="336" spans="1:43">
      <c r="A336" s="186"/>
      <c r="B336" s="186"/>
      <c r="C336" s="186"/>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1"/>
      <c r="AB336" s="181"/>
      <c r="AC336" s="181"/>
      <c r="AD336" s="181"/>
      <c r="AE336" s="181"/>
      <c r="AF336" s="181"/>
      <c r="AG336" s="181"/>
      <c r="AH336" s="181"/>
      <c r="AI336" s="181"/>
      <c r="AJ336" s="181"/>
      <c r="AK336" s="181"/>
      <c r="AL336" s="181"/>
      <c r="AM336" s="181"/>
      <c r="AN336" s="181"/>
      <c r="AO336" s="181"/>
      <c r="AP336" s="181"/>
      <c r="AQ336" s="181"/>
    </row>
    <row r="337" spans="1:43">
      <c r="A337" s="186"/>
      <c r="B337" s="186"/>
      <c r="C337" s="186"/>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1"/>
      <c r="AB337" s="181"/>
      <c r="AC337" s="181"/>
      <c r="AD337" s="181"/>
      <c r="AE337" s="181"/>
      <c r="AF337" s="181"/>
      <c r="AG337" s="181"/>
      <c r="AH337" s="181"/>
      <c r="AI337" s="181"/>
      <c r="AJ337" s="181"/>
      <c r="AK337" s="181"/>
      <c r="AL337" s="181"/>
      <c r="AM337" s="181"/>
      <c r="AN337" s="181"/>
      <c r="AO337" s="181"/>
      <c r="AP337" s="181"/>
      <c r="AQ337" s="181"/>
    </row>
    <row r="338" spans="1:43">
      <c r="A338" s="186"/>
      <c r="B338" s="186"/>
      <c r="C338" s="186"/>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1"/>
      <c r="AB338" s="181"/>
      <c r="AC338" s="181"/>
      <c r="AD338" s="181"/>
      <c r="AE338" s="181"/>
      <c r="AF338" s="181"/>
      <c r="AG338" s="181"/>
      <c r="AH338" s="181"/>
      <c r="AI338" s="181"/>
      <c r="AJ338" s="181"/>
      <c r="AK338" s="181"/>
      <c r="AL338" s="181"/>
      <c r="AM338" s="181"/>
      <c r="AN338" s="181"/>
      <c r="AO338" s="181"/>
      <c r="AP338" s="181"/>
      <c r="AQ338" s="181"/>
    </row>
    <row r="339" spans="1:43">
      <c r="A339" s="186"/>
      <c r="B339" s="186"/>
      <c r="C339" s="186"/>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1"/>
      <c r="AB339" s="181"/>
      <c r="AC339" s="181"/>
      <c r="AD339" s="181"/>
      <c r="AE339" s="181"/>
      <c r="AF339" s="181"/>
      <c r="AG339" s="181"/>
      <c r="AH339" s="181"/>
      <c r="AI339" s="181"/>
      <c r="AJ339" s="181"/>
      <c r="AK339" s="181"/>
      <c r="AL339" s="181"/>
      <c r="AM339" s="181"/>
      <c r="AN339" s="181"/>
      <c r="AO339" s="181"/>
      <c r="AP339" s="181"/>
      <c r="AQ339" s="181"/>
    </row>
    <row r="340" spans="1:43">
      <c r="A340" s="186"/>
      <c r="B340" s="186"/>
      <c r="C340" s="186"/>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1"/>
      <c r="AB340" s="181"/>
      <c r="AC340" s="181"/>
      <c r="AD340" s="181"/>
      <c r="AE340" s="181"/>
      <c r="AF340" s="181"/>
      <c r="AG340" s="181"/>
      <c r="AH340" s="181"/>
      <c r="AI340" s="181"/>
      <c r="AJ340" s="181"/>
      <c r="AK340" s="181"/>
      <c r="AL340" s="181"/>
      <c r="AM340" s="181"/>
      <c r="AN340" s="181"/>
      <c r="AO340" s="181"/>
      <c r="AP340" s="181"/>
      <c r="AQ340" s="181"/>
    </row>
    <row r="341" spans="1:43">
      <c r="A341" s="186"/>
      <c r="B341" s="186"/>
      <c r="C341" s="186"/>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1"/>
      <c r="AB341" s="181"/>
      <c r="AC341" s="181"/>
      <c r="AD341" s="181"/>
      <c r="AE341" s="181"/>
      <c r="AF341" s="181"/>
      <c r="AG341" s="181"/>
      <c r="AH341" s="181"/>
      <c r="AI341" s="181"/>
      <c r="AJ341" s="181"/>
      <c r="AK341" s="181"/>
      <c r="AL341" s="181"/>
      <c r="AM341" s="181"/>
      <c r="AN341" s="181"/>
      <c r="AO341" s="181"/>
      <c r="AP341" s="181"/>
      <c r="AQ341" s="181"/>
    </row>
    <row r="342" spans="1:43">
      <c r="A342" s="186"/>
      <c r="B342" s="186"/>
      <c r="C342" s="186"/>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1"/>
      <c r="AB342" s="181"/>
      <c r="AC342" s="181"/>
      <c r="AD342" s="181"/>
      <c r="AE342" s="181"/>
      <c r="AF342" s="181"/>
      <c r="AG342" s="181"/>
      <c r="AH342" s="181"/>
      <c r="AI342" s="181"/>
      <c r="AJ342" s="181"/>
      <c r="AK342" s="181"/>
      <c r="AL342" s="181"/>
      <c r="AM342" s="181"/>
      <c r="AN342" s="181"/>
      <c r="AO342" s="181"/>
      <c r="AP342" s="181"/>
      <c r="AQ342" s="181"/>
    </row>
    <row r="343" spans="1:43">
      <c r="A343" s="186"/>
      <c r="B343" s="186"/>
      <c r="C343" s="186"/>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1"/>
      <c r="AB343" s="181"/>
      <c r="AC343" s="181"/>
      <c r="AD343" s="181"/>
      <c r="AE343" s="181"/>
      <c r="AF343" s="181"/>
      <c r="AG343" s="181"/>
      <c r="AH343" s="181"/>
      <c r="AI343" s="181"/>
      <c r="AJ343" s="181"/>
      <c r="AK343" s="181"/>
      <c r="AL343" s="181"/>
      <c r="AM343" s="181"/>
      <c r="AN343" s="181"/>
      <c r="AO343" s="181"/>
      <c r="AP343" s="181"/>
      <c r="AQ343" s="181"/>
    </row>
    <row r="344" spans="1:43">
      <c r="A344" s="186"/>
      <c r="B344" s="186"/>
      <c r="C344" s="186"/>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1"/>
      <c r="AB344" s="181"/>
      <c r="AC344" s="181"/>
      <c r="AD344" s="181"/>
      <c r="AE344" s="181"/>
      <c r="AF344" s="181"/>
      <c r="AG344" s="181"/>
      <c r="AH344" s="181"/>
      <c r="AI344" s="181"/>
      <c r="AJ344" s="181"/>
      <c r="AK344" s="181"/>
      <c r="AL344" s="181"/>
      <c r="AM344" s="181"/>
      <c r="AN344" s="181"/>
      <c r="AO344" s="181"/>
      <c r="AP344" s="181"/>
      <c r="AQ344" s="181"/>
    </row>
    <row r="345" spans="1:43">
      <c r="A345" s="186"/>
      <c r="B345" s="186"/>
      <c r="C345" s="186"/>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1"/>
      <c r="AB345" s="181"/>
      <c r="AC345" s="181"/>
      <c r="AD345" s="181"/>
      <c r="AE345" s="181"/>
      <c r="AF345" s="181"/>
      <c r="AG345" s="181"/>
      <c r="AH345" s="181"/>
      <c r="AI345" s="181"/>
      <c r="AJ345" s="181"/>
      <c r="AK345" s="181"/>
      <c r="AL345" s="181"/>
      <c r="AM345" s="181"/>
      <c r="AN345" s="181"/>
      <c r="AO345" s="181"/>
      <c r="AP345" s="181"/>
      <c r="AQ345" s="181"/>
    </row>
    <row r="346" spans="1:43">
      <c r="A346" s="186"/>
      <c r="B346" s="186"/>
      <c r="C346" s="186"/>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1"/>
      <c r="AB346" s="181"/>
      <c r="AC346" s="181"/>
      <c r="AD346" s="181"/>
      <c r="AE346" s="181"/>
      <c r="AF346" s="181"/>
      <c r="AG346" s="181"/>
      <c r="AH346" s="181"/>
      <c r="AI346" s="181"/>
      <c r="AJ346" s="181"/>
      <c r="AK346" s="181"/>
      <c r="AL346" s="181"/>
      <c r="AM346" s="181"/>
      <c r="AN346" s="181"/>
      <c r="AO346" s="181"/>
      <c r="AP346" s="181"/>
      <c r="AQ346" s="181"/>
    </row>
    <row r="347" spans="1:43">
      <c r="A347" s="186"/>
      <c r="B347" s="186"/>
      <c r="C347" s="186"/>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1"/>
      <c r="AB347" s="181"/>
      <c r="AC347" s="181"/>
      <c r="AD347" s="181"/>
      <c r="AE347" s="181"/>
      <c r="AF347" s="181"/>
      <c r="AG347" s="181"/>
      <c r="AH347" s="181"/>
      <c r="AI347" s="181"/>
      <c r="AJ347" s="181"/>
      <c r="AK347" s="181"/>
      <c r="AL347" s="181"/>
      <c r="AM347" s="181"/>
      <c r="AN347" s="181"/>
      <c r="AO347" s="181"/>
      <c r="AP347" s="181"/>
      <c r="AQ347" s="181"/>
    </row>
    <row r="348" spans="1:43">
      <c r="A348" s="186"/>
      <c r="B348" s="186"/>
      <c r="C348" s="186"/>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1"/>
      <c r="AB348" s="181"/>
      <c r="AC348" s="181"/>
      <c r="AD348" s="181"/>
      <c r="AE348" s="181"/>
      <c r="AF348" s="181"/>
      <c r="AG348" s="181"/>
      <c r="AH348" s="181"/>
      <c r="AI348" s="181"/>
      <c r="AJ348" s="181"/>
      <c r="AK348" s="181"/>
      <c r="AL348" s="181"/>
      <c r="AM348" s="181"/>
      <c r="AN348" s="181"/>
      <c r="AO348" s="181"/>
      <c r="AP348" s="181"/>
      <c r="AQ348" s="181"/>
    </row>
    <row r="349" spans="1:43">
      <c r="A349" s="186"/>
      <c r="B349" s="186"/>
      <c r="C349" s="186"/>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1"/>
      <c r="AB349" s="181"/>
      <c r="AC349" s="181"/>
      <c r="AD349" s="181"/>
      <c r="AE349" s="181"/>
      <c r="AF349" s="181"/>
      <c r="AG349" s="181"/>
      <c r="AH349" s="181"/>
      <c r="AI349" s="181"/>
      <c r="AJ349" s="181"/>
      <c r="AK349" s="181"/>
      <c r="AL349" s="181"/>
      <c r="AM349" s="181"/>
      <c r="AN349" s="181"/>
      <c r="AO349" s="181"/>
      <c r="AP349" s="181"/>
      <c r="AQ349" s="181"/>
    </row>
    <row r="350" spans="1:43">
      <c r="A350" s="186"/>
      <c r="B350" s="186"/>
      <c r="C350" s="186"/>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1"/>
      <c r="AB350" s="181"/>
      <c r="AC350" s="181"/>
      <c r="AD350" s="181"/>
      <c r="AE350" s="181"/>
      <c r="AF350" s="181"/>
      <c r="AG350" s="181"/>
      <c r="AH350" s="181"/>
      <c r="AI350" s="181"/>
      <c r="AJ350" s="181"/>
      <c r="AK350" s="181"/>
      <c r="AL350" s="181"/>
      <c r="AM350" s="181"/>
      <c r="AN350" s="181"/>
      <c r="AO350" s="181"/>
      <c r="AP350" s="181"/>
      <c r="AQ350" s="181"/>
    </row>
    <row r="351" spans="1:43">
      <c r="A351" s="186"/>
      <c r="B351" s="186"/>
      <c r="C351" s="186"/>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1"/>
      <c r="AB351" s="181"/>
      <c r="AC351" s="181"/>
      <c r="AD351" s="181"/>
      <c r="AE351" s="181"/>
      <c r="AF351" s="181"/>
      <c r="AG351" s="181"/>
      <c r="AH351" s="181"/>
      <c r="AI351" s="181"/>
      <c r="AJ351" s="181"/>
      <c r="AK351" s="181"/>
      <c r="AL351" s="181"/>
      <c r="AM351" s="181"/>
      <c r="AN351" s="181"/>
      <c r="AO351" s="181"/>
      <c r="AP351" s="181"/>
      <c r="AQ351" s="181"/>
    </row>
    <row r="352" spans="1:43">
      <c r="A352" s="186"/>
      <c r="B352" s="186"/>
      <c r="C352" s="186"/>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1"/>
      <c r="AB352" s="181"/>
      <c r="AC352" s="181"/>
      <c r="AD352" s="181"/>
      <c r="AE352" s="181"/>
      <c r="AF352" s="181"/>
      <c r="AG352" s="181"/>
      <c r="AH352" s="181"/>
      <c r="AI352" s="181"/>
      <c r="AJ352" s="181"/>
      <c r="AK352" s="181"/>
      <c r="AL352" s="181"/>
      <c r="AM352" s="181"/>
      <c r="AN352" s="181"/>
      <c r="AO352" s="181"/>
      <c r="AP352" s="181"/>
      <c r="AQ352" s="181"/>
    </row>
    <row r="353" spans="1:43">
      <c r="A353" s="186"/>
      <c r="B353" s="186"/>
      <c r="C353" s="186"/>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1"/>
      <c r="AB353" s="181"/>
      <c r="AC353" s="181"/>
      <c r="AD353" s="181"/>
      <c r="AE353" s="181"/>
      <c r="AF353" s="181"/>
      <c r="AG353" s="181"/>
      <c r="AH353" s="181"/>
      <c r="AI353" s="181"/>
      <c r="AJ353" s="181"/>
      <c r="AK353" s="181"/>
      <c r="AL353" s="181"/>
      <c r="AM353" s="181"/>
      <c r="AN353" s="181"/>
      <c r="AO353" s="181"/>
      <c r="AP353" s="181"/>
      <c r="AQ353" s="181"/>
    </row>
    <row r="354" spans="1:43">
      <c r="A354" s="186"/>
      <c r="B354" s="186"/>
      <c r="C354" s="186"/>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1"/>
      <c r="AB354" s="181"/>
      <c r="AC354" s="181"/>
      <c r="AD354" s="181"/>
      <c r="AE354" s="181"/>
      <c r="AF354" s="181"/>
      <c r="AG354" s="181"/>
      <c r="AH354" s="181"/>
      <c r="AI354" s="181"/>
      <c r="AJ354" s="181"/>
      <c r="AK354" s="181"/>
      <c r="AL354" s="181"/>
      <c r="AM354" s="181"/>
      <c r="AN354" s="181"/>
      <c r="AO354" s="181"/>
      <c r="AP354" s="181"/>
      <c r="AQ354" s="181"/>
    </row>
    <row r="355" spans="1:43">
      <c r="A355" s="186"/>
      <c r="B355" s="186"/>
      <c r="C355" s="186"/>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1"/>
      <c r="AB355" s="181"/>
      <c r="AC355" s="181"/>
      <c r="AD355" s="181"/>
      <c r="AE355" s="181"/>
      <c r="AF355" s="181"/>
      <c r="AG355" s="181"/>
      <c r="AH355" s="181"/>
      <c r="AI355" s="181"/>
      <c r="AJ355" s="181"/>
      <c r="AK355" s="181"/>
      <c r="AL355" s="181"/>
      <c r="AM355" s="181"/>
      <c r="AN355" s="181"/>
      <c r="AO355" s="181"/>
      <c r="AP355" s="181"/>
      <c r="AQ355" s="181"/>
    </row>
    <row r="356" spans="1:43">
      <c r="A356" s="186"/>
      <c r="B356" s="186"/>
      <c r="C356" s="186"/>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1"/>
      <c r="AB356" s="181"/>
      <c r="AC356" s="181"/>
      <c r="AD356" s="181"/>
      <c r="AE356" s="181"/>
      <c r="AF356" s="181"/>
      <c r="AG356" s="181"/>
      <c r="AH356" s="181"/>
      <c r="AI356" s="181"/>
      <c r="AJ356" s="181"/>
      <c r="AK356" s="181"/>
      <c r="AL356" s="181"/>
      <c r="AM356" s="181"/>
      <c r="AN356" s="181"/>
      <c r="AO356" s="181"/>
      <c r="AP356" s="181"/>
      <c r="AQ356" s="181"/>
    </row>
    <row r="357" spans="1:43">
      <c r="A357" s="186"/>
      <c r="B357" s="186"/>
      <c r="C357" s="186"/>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1"/>
      <c r="AB357" s="181"/>
      <c r="AC357" s="181"/>
      <c r="AD357" s="181"/>
      <c r="AE357" s="181"/>
      <c r="AF357" s="181"/>
      <c r="AG357" s="181"/>
      <c r="AH357" s="181"/>
      <c r="AI357" s="181"/>
      <c r="AJ357" s="181"/>
      <c r="AK357" s="181"/>
      <c r="AL357" s="181"/>
      <c r="AM357" s="181"/>
      <c r="AN357" s="181"/>
      <c r="AO357" s="181"/>
      <c r="AP357" s="181"/>
      <c r="AQ357" s="181"/>
    </row>
    <row r="358" spans="1:43">
      <c r="A358" s="186"/>
      <c r="B358" s="186"/>
      <c r="C358" s="186"/>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1"/>
      <c r="AB358" s="181"/>
      <c r="AC358" s="181"/>
      <c r="AD358" s="181"/>
      <c r="AE358" s="181"/>
      <c r="AF358" s="181"/>
      <c r="AG358" s="181"/>
      <c r="AH358" s="181"/>
      <c r="AI358" s="181"/>
      <c r="AJ358" s="181"/>
      <c r="AK358" s="181"/>
      <c r="AL358" s="181"/>
      <c r="AM358" s="181"/>
      <c r="AN358" s="181"/>
      <c r="AO358" s="181"/>
      <c r="AP358" s="181"/>
      <c r="AQ358" s="181"/>
    </row>
    <row r="359" spans="1:43">
      <c r="A359" s="186"/>
      <c r="B359" s="186"/>
      <c r="C359" s="186"/>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1"/>
      <c r="AB359" s="181"/>
      <c r="AC359" s="181"/>
      <c r="AD359" s="181"/>
      <c r="AE359" s="181"/>
      <c r="AF359" s="181"/>
      <c r="AG359" s="181"/>
      <c r="AH359" s="181"/>
      <c r="AI359" s="181"/>
      <c r="AJ359" s="181"/>
      <c r="AK359" s="181"/>
      <c r="AL359" s="181"/>
      <c r="AM359" s="181"/>
      <c r="AN359" s="181"/>
      <c r="AO359" s="181"/>
      <c r="AP359" s="181"/>
      <c r="AQ359" s="181"/>
    </row>
    <row r="360" spans="1:43">
      <c r="A360" s="186"/>
      <c r="B360" s="186"/>
      <c r="C360" s="186"/>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1"/>
      <c r="AB360" s="181"/>
      <c r="AC360" s="181"/>
      <c r="AD360" s="181"/>
      <c r="AE360" s="181"/>
      <c r="AF360" s="181"/>
      <c r="AG360" s="181"/>
      <c r="AH360" s="181"/>
      <c r="AI360" s="181"/>
      <c r="AJ360" s="181"/>
      <c r="AK360" s="181"/>
      <c r="AL360" s="181"/>
      <c r="AM360" s="181"/>
      <c r="AN360" s="181"/>
      <c r="AO360" s="181"/>
      <c r="AP360" s="181"/>
      <c r="AQ360" s="181"/>
    </row>
    <row r="361" spans="1:43">
      <c r="A361" s="186"/>
      <c r="B361" s="186"/>
      <c r="C361" s="186"/>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1"/>
      <c r="AB361" s="181"/>
      <c r="AC361" s="181"/>
      <c r="AD361" s="181"/>
      <c r="AE361" s="181"/>
      <c r="AF361" s="181"/>
      <c r="AG361" s="181"/>
      <c r="AH361" s="181"/>
      <c r="AI361" s="181"/>
      <c r="AJ361" s="181"/>
      <c r="AK361" s="181"/>
      <c r="AL361" s="181"/>
      <c r="AM361" s="181"/>
      <c r="AN361" s="181"/>
      <c r="AO361" s="181"/>
      <c r="AP361" s="181"/>
      <c r="AQ361" s="181"/>
    </row>
    <row r="362" spans="1:43">
      <c r="A362" s="186"/>
      <c r="B362" s="186"/>
      <c r="C362" s="186"/>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1"/>
      <c r="AB362" s="181"/>
      <c r="AC362" s="181"/>
      <c r="AD362" s="181"/>
      <c r="AE362" s="181"/>
      <c r="AF362" s="181"/>
      <c r="AG362" s="181"/>
      <c r="AH362" s="181"/>
      <c r="AI362" s="181"/>
      <c r="AJ362" s="181"/>
      <c r="AK362" s="181"/>
      <c r="AL362" s="181"/>
      <c r="AM362" s="181"/>
      <c r="AN362" s="181"/>
      <c r="AO362" s="181"/>
      <c r="AP362" s="181"/>
      <c r="AQ362" s="181"/>
    </row>
    <row r="363" spans="1:43">
      <c r="A363" s="186"/>
      <c r="B363" s="186"/>
      <c r="C363" s="186"/>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1"/>
      <c r="AB363" s="181"/>
      <c r="AC363" s="181"/>
      <c r="AD363" s="181"/>
      <c r="AE363" s="181"/>
      <c r="AF363" s="181"/>
      <c r="AG363" s="181"/>
      <c r="AH363" s="181"/>
      <c r="AI363" s="181"/>
      <c r="AJ363" s="181"/>
      <c r="AK363" s="181"/>
      <c r="AL363" s="181"/>
      <c r="AM363" s="181"/>
      <c r="AN363" s="181"/>
      <c r="AO363" s="181"/>
      <c r="AP363" s="181"/>
      <c r="AQ363" s="181"/>
    </row>
    <row r="364" spans="1:43">
      <c r="A364" s="186"/>
      <c r="B364" s="186"/>
      <c r="C364" s="186"/>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1"/>
      <c r="AB364" s="181"/>
      <c r="AC364" s="181"/>
      <c r="AD364" s="181"/>
      <c r="AE364" s="181"/>
      <c r="AF364" s="181"/>
      <c r="AG364" s="181"/>
      <c r="AH364" s="181"/>
      <c r="AI364" s="181"/>
      <c r="AJ364" s="181"/>
      <c r="AK364" s="181"/>
      <c r="AL364" s="181"/>
      <c r="AM364" s="181"/>
      <c r="AN364" s="181"/>
      <c r="AO364" s="181"/>
      <c r="AP364" s="181"/>
      <c r="AQ364" s="181"/>
    </row>
    <row r="365" spans="1:43">
      <c r="A365" s="186"/>
      <c r="B365" s="186"/>
      <c r="C365" s="186"/>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1"/>
      <c r="AB365" s="181"/>
      <c r="AC365" s="181"/>
      <c r="AD365" s="181"/>
      <c r="AE365" s="181"/>
      <c r="AF365" s="181"/>
      <c r="AG365" s="181"/>
      <c r="AH365" s="181"/>
      <c r="AI365" s="181"/>
      <c r="AJ365" s="181"/>
      <c r="AK365" s="181"/>
      <c r="AL365" s="181"/>
      <c r="AM365" s="181"/>
      <c r="AN365" s="181"/>
      <c r="AO365" s="181"/>
      <c r="AP365" s="181"/>
      <c r="AQ365" s="181"/>
    </row>
    <row r="366" spans="1:43">
      <c r="A366" s="186"/>
      <c r="B366" s="186"/>
      <c r="C366" s="186"/>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1"/>
      <c r="AB366" s="181"/>
      <c r="AC366" s="181"/>
      <c r="AD366" s="181"/>
      <c r="AE366" s="181"/>
      <c r="AF366" s="181"/>
      <c r="AG366" s="181"/>
      <c r="AH366" s="181"/>
      <c r="AI366" s="181"/>
      <c r="AJ366" s="181"/>
      <c r="AK366" s="181"/>
      <c r="AL366" s="181"/>
      <c r="AM366" s="181"/>
      <c r="AN366" s="181"/>
      <c r="AO366" s="181"/>
      <c r="AP366" s="181"/>
      <c r="AQ366" s="181"/>
    </row>
    <row r="367" spans="1:43">
      <c r="A367" s="186"/>
      <c r="B367" s="186"/>
      <c r="C367" s="186"/>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1"/>
      <c r="AB367" s="181"/>
      <c r="AC367" s="181"/>
      <c r="AD367" s="181"/>
      <c r="AE367" s="181"/>
      <c r="AF367" s="181"/>
      <c r="AG367" s="181"/>
      <c r="AH367" s="181"/>
      <c r="AI367" s="181"/>
      <c r="AJ367" s="181"/>
      <c r="AK367" s="181"/>
      <c r="AL367" s="181"/>
      <c r="AM367" s="181"/>
      <c r="AN367" s="181"/>
      <c r="AO367" s="181"/>
      <c r="AP367" s="181"/>
      <c r="AQ367" s="181"/>
    </row>
    <row r="368" spans="1:43">
      <c r="A368" s="186"/>
      <c r="B368" s="186"/>
      <c r="C368" s="186"/>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1"/>
      <c r="AB368" s="181"/>
      <c r="AC368" s="181"/>
      <c r="AD368" s="181"/>
      <c r="AE368" s="181"/>
      <c r="AF368" s="181"/>
      <c r="AG368" s="181"/>
      <c r="AH368" s="181"/>
      <c r="AI368" s="181"/>
      <c r="AJ368" s="181"/>
      <c r="AK368" s="181"/>
      <c r="AL368" s="181"/>
      <c r="AM368" s="181"/>
      <c r="AN368" s="181"/>
      <c r="AO368" s="181"/>
      <c r="AP368" s="181"/>
      <c r="AQ368" s="181"/>
    </row>
    <row r="369" spans="1:43">
      <c r="A369" s="186"/>
      <c r="B369" s="186"/>
      <c r="C369" s="186"/>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1"/>
      <c r="AB369" s="181"/>
      <c r="AC369" s="181"/>
      <c r="AD369" s="181"/>
      <c r="AE369" s="181"/>
      <c r="AF369" s="181"/>
      <c r="AG369" s="181"/>
      <c r="AH369" s="181"/>
      <c r="AI369" s="181"/>
      <c r="AJ369" s="181"/>
      <c r="AK369" s="181"/>
      <c r="AL369" s="181"/>
      <c r="AM369" s="181"/>
      <c r="AN369" s="181"/>
      <c r="AO369" s="181"/>
      <c r="AP369" s="181"/>
      <c r="AQ369" s="181"/>
    </row>
    <row r="370" spans="1:43">
      <c r="A370" s="186"/>
      <c r="B370" s="186"/>
      <c r="C370" s="186"/>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1"/>
      <c r="AB370" s="181"/>
      <c r="AC370" s="181"/>
      <c r="AD370" s="181"/>
      <c r="AE370" s="181"/>
      <c r="AF370" s="181"/>
      <c r="AG370" s="181"/>
      <c r="AH370" s="181"/>
      <c r="AI370" s="181"/>
      <c r="AJ370" s="181"/>
      <c r="AK370" s="181"/>
      <c r="AL370" s="181"/>
      <c r="AM370" s="181"/>
      <c r="AN370" s="181"/>
      <c r="AO370" s="181"/>
      <c r="AP370" s="181"/>
      <c r="AQ370" s="181"/>
    </row>
    <row r="371" spans="1:43">
      <c r="A371" s="186"/>
      <c r="B371" s="186"/>
      <c r="C371" s="186"/>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1"/>
      <c r="AB371" s="181"/>
      <c r="AC371" s="181"/>
      <c r="AD371" s="181"/>
      <c r="AE371" s="181"/>
      <c r="AF371" s="181"/>
      <c r="AG371" s="181"/>
      <c r="AH371" s="181"/>
      <c r="AI371" s="181"/>
      <c r="AJ371" s="181"/>
      <c r="AK371" s="181"/>
      <c r="AL371" s="181"/>
      <c r="AM371" s="181"/>
      <c r="AN371" s="181"/>
      <c r="AO371" s="181"/>
      <c r="AP371" s="181"/>
      <c r="AQ371" s="181"/>
    </row>
    <row r="372" spans="1:43">
      <c r="A372" s="186"/>
      <c r="B372" s="186"/>
      <c r="C372" s="186"/>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1"/>
      <c r="AB372" s="181"/>
      <c r="AC372" s="181"/>
      <c r="AD372" s="181"/>
      <c r="AE372" s="181"/>
      <c r="AF372" s="181"/>
      <c r="AG372" s="181"/>
      <c r="AH372" s="181"/>
      <c r="AI372" s="181"/>
      <c r="AJ372" s="181"/>
      <c r="AK372" s="181"/>
      <c r="AL372" s="181"/>
      <c r="AM372" s="181"/>
      <c r="AN372" s="181"/>
      <c r="AO372" s="181"/>
      <c r="AP372" s="181"/>
      <c r="AQ372" s="181"/>
    </row>
    <row r="373" spans="1:43">
      <c r="A373" s="186"/>
      <c r="B373" s="186"/>
      <c r="C373" s="186"/>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1"/>
      <c r="AB373" s="181"/>
      <c r="AC373" s="181"/>
      <c r="AD373" s="181"/>
      <c r="AE373" s="181"/>
      <c r="AF373" s="181"/>
      <c r="AG373" s="181"/>
      <c r="AH373" s="181"/>
      <c r="AI373" s="181"/>
      <c r="AJ373" s="181"/>
      <c r="AK373" s="181"/>
      <c r="AL373" s="181"/>
      <c r="AM373" s="181"/>
      <c r="AN373" s="181"/>
      <c r="AO373" s="181"/>
      <c r="AP373" s="181"/>
      <c r="AQ373" s="181"/>
    </row>
    <row r="374" spans="1:43">
      <c r="A374" s="186"/>
      <c r="B374" s="186"/>
      <c r="C374" s="186"/>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1"/>
      <c r="AB374" s="181"/>
      <c r="AC374" s="181"/>
      <c r="AD374" s="181"/>
      <c r="AE374" s="181"/>
      <c r="AF374" s="181"/>
      <c r="AG374" s="181"/>
      <c r="AH374" s="181"/>
      <c r="AI374" s="181"/>
      <c r="AJ374" s="181"/>
      <c r="AK374" s="181"/>
      <c r="AL374" s="181"/>
      <c r="AM374" s="181"/>
      <c r="AN374" s="181"/>
      <c r="AO374" s="181"/>
      <c r="AP374" s="181"/>
      <c r="AQ374" s="181"/>
    </row>
    <row r="375" spans="1:43">
      <c r="A375" s="186"/>
      <c r="B375" s="186"/>
      <c r="C375" s="186"/>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1"/>
      <c r="AB375" s="181"/>
      <c r="AC375" s="181"/>
      <c r="AD375" s="181"/>
      <c r="AE375" s="181"/>
      <c r="AF375" s="181"/>
      <c r="AG375" s="181"/>
      <c r="AH375" s="181"/>
      <c r="AI375" s="181"/>
      <c r="AJ375" s="181"/>
      <c r="AK375" s="181"/>
      <c r="AL375" s="181"/>
      <c r="AM375" s="181"/>
      <c r="AN375" s="181"/>
      <c r="AO375" s="181"/>
      <c r="AP375" s="181"/>
      <c r="AQ375" s="181"/>
    </row>
    <row r="376" spans="1:43">
      <c r="A376" s="186"/>
      <c r="B376" s="186"/>
      <c r="C376" s="186"/>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1"/>
      <c r="AB376" s="181"/>
      <c r="AC376" s="181"/>
      <c r="AD376" s="181"/>
      <c r="AE376" s="181"/>
      <c r="AF376" s="181"/>
      <c r="AG376" s="181"/>
      <c r="AH376" s="181"/>
      <c r="AI376" s="181"/>
      <c r="AJ376" s="181"/>
      <c r="AK376" s="181"/>
      <c r="AL376" s="181"/>
      <c r="AM376" s="181"/>
      <c r="AN376" s="181"/>
      <c r="AO376" s="181"/>
      <c r="AP376" s="181"/>
      <c r="AQ376" s="181"/>
    </row>
    <row r="377" spans="1:43">
      <c r="A377" s="186"/>
      <c r="B377" s="186"/>
      <c r="C377" s="186"/>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1"/>
      <c r="AB377" s="181"/>
      <c r="AC377" s="181"/>
      <c r="AD377" s="181"/>
      <c r="AE377" s="181"/>
      <c r="AF377" s="181"/>
      <c r="AG377" s="181"/>
      <c r="AH377" s="181"/>
      <c r="AI377" s="181"/>
      <c r="AJ377" s="181"/>
      <c r="AK377" s="181"/>
      <c r="AL377" s="181"/>
      <c r="AM377" s="181"/>
      <c r="AN377" s="181"/>
      <c r="AO377" s="181"/>
      <c r="AP377" s="181"/>
      <c r="AQ377" s="181"/>
    </row>
    <row r="378" spans="1:43">
      <c r="A378" s="186"/>
      <c r="B378" s="186"/>
      <c r="C378" s="186"/>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1"/>
      <c r="AB378" s="181"/>
      <c r="AC378" s="181"/>
      <c r="AD378" s="181"/>
      <c r="AE378" s="181"/>
      <c r="AF378" s="181"/>
      <c r="AG378" s="181"/>
      <c r="AH378" s="181"/>
      <c r="AI378" s="181"/>
      <c r="AJ378" s="181"/>
      <c r="AK378" s="181"/>
      <c r="AL378" s="181"/>
      <c r="AM378" s="181"/>
      <c r="AN378" s="181"/>
      <c r="AO378" s="181"/>
      <c r="AP378" s="181"/>
      <c r="AQ378" s="181"/>
    </row>
    <row r="379" spans="1:43">
      <c r="A379" s="186"/>
      <c r="B379" s="186"/>
      <c r="C379" s="186"/>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1"/>
      <c r="AB379" s="181"/>
      <c r="AC379" s="181"/>
      <c r="AD379" s="181"/>
      <c r="AE379" s="181"/>
      <c r="AF379" s="181"/>
      <c r="AG379" s="181"/>
      <c r="AH379" s="181"/>
      <c r="AI379" s="181"/>
      <c r="AJ379" s="181"/>
      <c r="AK379" s="181"/>
      <c r="AL379" s="181"/>
      <c r="AM379" s="181"/>
      <c r="AN379" s="181"/>
      <c r="AO379" s="181"/>
      <c r="AP379" s="181"/>
      <c r="AQ379" s="181"/>
    </row>
    <row r="380" spans="1:43">
      <c r="A380" s="186"/>
      <c r="B380" s="186"/>
      <c r="C380" s="186"/>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1"/>
      <c r="AB380" s="181"/>
      <c r="AC380" s="181"/>
      <c r="AD380" s="181"/>
      <c r="AE380" s="181"/>
      <c r="AF380" s="181"/>
      <c r="AG380" s="181"/>
      <c r="AH380" s="181"/>
      <c r="AI380" s="181"/>
      <c r="AJ380" s="181"/>
      <c r="AK380" s="181"/>
      <c r="AL380" s="181"/>
      <c r="AM380" s="181"/>
      <c r="AN380" s="181"/>
      <c r="AO380" s="181"/>
      <c r="AP380" s="181"/>
      <c r="AQ380" s="181"/>
    </row>
    <row r="381" spans="1:43">
      <c r="A381" s="186"/>
      <c r="B381" s="186"/>
      <c r="C381" s="186"/>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1"/>
      <c r="AB381" s="181"/>
      <c r="AC381" s="181"/>
      <c r="AD381" s="181"/>
      <c r="AE381" s="181"/>
      <c r="AF381" s="181"/>
      <c r="AG381" s="181"/>
      <c r="AH381" s="181"/>
      <c r="AI381" s="181"/>
      <c r="AJ381" s="181"/>
      <c r="AK381" s="181"/>
      <c r="AL381" s="181"/>
      <c r="AM381" s="181"/>
      <c r="AN381" s="181"/>
      <c r="AO381" s="181"/>
      <c r="AP381" s="181"/>
      <c r="AQ381" s="181"/>
    </row>
    <row r="382" spans="1:43">
      <c r="A382" s="186"/>
      <c r="B382" s="186"/>
      <c r="C382" s="186"/>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1"/>
      <c r="AB382" s="181"/>
      <c r="AC382" s="181"/>
      <c r="AD382" s="181"/>
      <c r="AE382" s="181"/>
      <c r="AF382" s="181"/>
      <c r="AG382" s="181"/>
      <c r="AH382" s="181"/>
      <c r="AI382" s="181"/>
      <c r="AJ382" s="181"/>
      <c r="AK382" s="181"/>
      <c r="AL382" s="181"/>
      <c r="AM382" s="181"/>
      <c r="AN382" s="181"/>
      <c r="AO382" s="181"/>
      <c r="AP382" s="181"/>
      <c r="AQ382" s="181"/>
    </row>
    <row r="383" spans="1:43">
      <c r="A383" s="186"/>
      <c r="B383" s="186"/>
      <c r="C383" s="186"/>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1"/>
      <c r="AB383" s="181"/>
      <c r="AC383" s="181"/>
      <c r="AD383" s="181"/>
      <c r="AE383" s="181"/>
      <c r="AF383" s="181"/>
      <c r="AG383" s="181"/>
      <c r="AH383" s="181"/>
      <c r="AI383" s="181"/>
      <c r="AJ383" s="181"/>
      <c r="AK383" s="181"/>
      <c r="AL383" s="181"/>
      <c r="AM383" s="181"/>
      <c r="AN383" s="181"/>
      <c r="AO383" s="181"/>
      <c r="AP383" s="181"/>
      <c r="AQ383" s="181"/>
    </row>
    <row r="384" spans="1:43">
      <c r="A384" s="186"/>
      <c r="B384" s="186"/>
      <c r="C384" s="186"/>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1"/>
      <c r="AB384" s="181"/>
      <c r="AC384" s="181"/>
      <c r="AD384" s="181"/>
      <c r="AE384" s="181"/>
      <c r="AF384" s="181"/>
      <c r="AG384" s="181"/>
      <c r="AH384" s="181"/>
      <c r="AI384" s="181"/>
      <c r="AJ384" s="181"/>
      <c r="AK384" s="181"/>
      <c r="AL384" s="181"/>
      <c r="AM384" s="181"/>
      <c r="AN384" s="181"/>
      <c r="AO384" s="181"/>
      <c r="AP384" s="181"/>
      <c r="AQ384" s="181"/>
    </row>
    <row r="385" spans="1:43">
      <c r="A385" s="186"/>
      <c r="B385" s="186"/>
      <c r="C385" s="186"/>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1"/>
      <c r="AB385" s="181"/>
      <c r="AC385" s="181"/>
      <c r="AD385" s="181"/>
      <c r="AE385" s="181"/>
      <c r="AF385" s="181"/>
      <c r="AG385" s="181"/>
      <c r="AH385" s="181"/>
      <c r="AI385" s="181"/>
      <c r="AJ385" s="181"/>
      <c r="AK385" s="181"/>
      <c r="AL385" s="181"/>
      <c r="AM385" s="181"/>
      <c r="AN385" s="181"/>
      <c r="AO385" s="181"/>
      <c r="AP385" s="181"/>
      <c r="AQ385" s="181"/>
    </row>
    <row r="386" spans="1:43">
      <c r="A386" s="186"/>
      <c r="B386" s="186"/>
      <c r="C386" s="186"/>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1"/>
      <c r="AB386" s="181"/>
      <c r="AC386" s="181"/>
      <c r="AD386" s="181"/>
      <c r="AE386" s="181"/>
      <c r="AF386" s="181"/>
      <c r="AG386" s="181"/>
      <c r="AH386" s="181"/>
      <c r="AI386" s="181"/>
      <c r="AJ386" s="181"/>
      <c r="AK386" s="181"/>
      <c r="AL386" s="181"/>
      <c r="AM386" s="181"/>
      <c r="AN386" s="181"/>
      <c r="AO386" s="181"/>
      <c r="AP386" s="181"/>
      <c r="AQ386" s="181"/>
    </row>
    <row r="387" spans="1:43">
      <c r="A387" s="186"/>
      <c r="B387" s="186"/>
      <c r="C387" s="186"/>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1"/>
      <c r="AB387" s="181"/>
      <c r="AC387" s="181"/>
      <c r="AD387" s="181"/>
      <c r="AE387" s="181"/>
      <c r="AF387" s="181"/>
      <c r="AG387" s="181"/>
      <c r="AH387" s="181"/>
      <c r="AI387" s="181"/>
      <c r="AJ387" s="181"/>
      <c r="AK387" s="181"/>
      <c r="AL387" s="181"/>
      <c r="AM387" s="181"/>
      <c r="AN387" s="181"/>
      <c r="AO387" s="181"/>
      <c r="AP387" s="181"/>
      <c r="AQ387" s="181"/>
    </row>
    <row r="388" spans="1:43">
      <c r="A388" s="186"/>
      <c r="B388" s="186"/>
      <c r="C388" s="186"/>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1"/>
      <c r="AB388" s="181"/>
      <c r="AC388" s="181"/>
      <c r="AD388" s="181"/>
      <c r="AE388" s="181"/>
      <c r="AF388" s="181"/>
      <c r="AG388" s="181"/>
      <c r="AH388" s="181"/>
      <c r="AI388" s="181"/>
      <c r="AJ388" s="181"/>
      <c r="AK388" s="181"/>
      <c r="AL388" s="181"/>
      <c r="AM388" s="181"/>
      <c r="AN388" s="181"/>
      <c r="AO388" s="181"/>
      <c r="AP388" s="181"/>
      <c r="AQ388" s="181"/>
    </row>
    <row r="389" spans="1:43">
      <c r="A389" s="186"/>
      <c r="B389" s="186"/>
      <c r="C389" s="186"/>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1"/>
      <c r="AB389" s="181"/>
      <c r="AC389" s="181"/>
      <c r="AD389" s="181"/>
      <c r="AE389" s="181"/>
      <c r="AF389" s="181"/>
      <c r="AG389" s="181"/>
      <c r="AH389" s="181"/>
      <c r="AI389" s="181"/>
      <c r="AJ389" s="181"/>
      <c r="AK389" s="181"/>
      <c r="AL389" s="181"/>
      <c r="AM389" s="181"/>
      <c r="AN389" s="181"/>
      <c r="AO389" s="181"/>
      <c r="AP389" s="181"/>
      <c r="AQ389" s="181"/>
    </row>
    <row r="390" spans="1:43">
      <c r="A390" s="186"/>
      <c r="B390" s="186"/>
      <c r="C390" s="186"/>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1"/>
      <c r="AB390" s="181"/>
      <c r="AC390" s="181"/>
      <c r="AD390" s="181"/>
      <c r="AE390" s="181"/>
      <c r="AF390" s="181"/>
      <c r="AG390" s="181"/>
      <c r="AH390" s="181"/>
      <c r="AI390" s="181"/>
      <c r="AJ390" s="181"/>
      <c r="AK390" s="181"/>
      <c r="AL390" s="181"/>
      <c r="AM390" s="181"/>
      <c r="AN390" s="181"/>
      <c r="AO390" s="181"/>
      <c r="AP390" s="181"/>
      <c r="AQ390" s="181"/>
    </row>
    <row r="391" spans="1:43">
      <c r="A391" s="186"/>
      <c r="B391" s="186"/>
      <c r="C391" s="186"/>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1"/>
      <c r="AB391" s="181"/>
      <c r="AC391" s="181"/>
      <c r="AD391" s="181"/>
      <c r="AE391" s="181"/>
      <c r="AF391" s="181"/>
      <c r="AG391" s="181"/>
      <c r="AH391" s="181"/>
      <c r="AI391" s="181"/>
      <c r="AJ391" s="181"/>
      <c r="AK391" s="181"/>
      <c r="AL391" s="181"/>
      <c r="AM391" s="181"/>
      <c r="AN391" s="181"/>
      <c r="AO391" s="181"/>
      <c r="AP391" s="181"/>
      <c r="AQ391" s="181"/>
    </row>
    <row r="392" spans="1:43">
      <c r="A392" s="186"/>
      <c r="B392" s="186"/>
      <c r="C392" s="186"/>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1"/>
      <c r="AB392" s="181"/>
      <c r="AC392" s="181"/>
      <c r="AD392" s="181"/>
      <c r="AE392" s="181"/>
      <c r="AF392" s="181"/>
      <c r="AG392" s="181"/>
      <c r="AH392" s="181"/>
      <c r="AI392" s="181"/>
      <c r="AJ392" s="181"/>
      <c r="AK392" s="181"/>
      <c r="AL392" s="181"/>
      <c r="AM392" s="181"/>
      <c r="AN392" s="181"/>
      <c r="AO392" s="181"/>
      <c r="AP392" s="181"/>
      <c r="AQ392" s="181"/>
    </row>
    <row r="393" spans="1:43">
      <c r="A393" s="186"/>
      <c r="B393" s="186"/>
      <c r="C393" s="186"/>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1"/>
      <c r="AB393" s="181"/>
      <c r="AC393" s="181"/>
      <c r="AD393" s="181"/>
      <c r="AE393" s="181"/>
      <c r="AF393" s="181"/>
      <c r="AG393" s="181"/>
      <c r="AH393" s="181"/>
      <c r="AI393" s="181"/>
      <c r="AJ393" s="181"/>
      <c r="AK393" s="181"/>
      <c r="AL393" s="181"/>
      <c r="AM393" s="181"/>
      <c r="AN393" s="181"/>
      <c r="AO393" s="181"/>
      <c r="AP393" s="181"/>
      <c r="AQ393" s="181"/>
    </row>
    <row r="394" spans="1:43">
      <c r="A394" s="186"/>
      <c r="B394" s="186"/>
      <c r="C394" s="186"/>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1"/>
      <c r="AB394" s="181"/>
      <c r="AC394" s="181"/>
      <c r="AD394" s="181"/>
      <c r="AE394" s="181"/>
      <c r="AF394" s="181"/>
      <c r="AG394" s="181"/>
      <c r="AH394" s="181"/>
      <c r="AI394" s="181"/>
      <c r="AJ394" s="181"/>
      <c r="AK394" s="181"/>
      <c r="AL394" s="181"/>
      <c r="AM394" s="181"/>
      <c r="AN394" s="181"/>
      <c r="AO394" s="181"/>
      <c r="AP394" s="181"/>
      <c r="AQ394" s="181"/>
    </row>
    <row r="395" spans="1:43">
      <c r="A395" s="186"/>
      <c r="B395" s="186"/>
      <c r="C395" s="186"/>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1"/>
      <c r="AB395" s="181"/>
      <c r="AC395" s="181"/>
      <c r="AD395" s="181"/>
      <c r="AE395" s="181"/>
      <c r="AF395" s="181"/>
      <c r="AG395" s="181"/>
      <c r="AH395" s="181"/>
      <c r="AI395" s="181"/>
      <c r="AJ395" s="181"/>
      <c r="AK395" s="181"/>
      <c r="AL395" s="181"/>
      <c r="AM395" s="181"/>
      <c r="AN395" s="181"/>
      <c r="AO395" s="181"/>
      <c r="AP395" s="181"/>
      <c r="AQ395" s="181"/>
    </row>
    <row r="396" spans="1:43">
      <c r="A396" s="186"/>
      <c r="B396" s="186"/>
      <c r="C396" s="186"/>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1"/>
      <c r="AB396" s="181"/>
      <c r="AC396" s="181"/>
      <c r="AD396" s="181"/>
      <c r="AE396" s="181"/>
      <c r="AF396" s="181"/>
      <c r="AG396" s="181"/>
      <c r="AH396" s="181"/>
      <c r="AI396" s="181"/>
      <c r="AJ396" s="181"/>
      <c r="AK396" s="181"/>
      <c r="AL396" s="181"/>
      <c r="AM396" s="181"/>
      <c r="AN396" s="181"/>
      <c r="AO396" s="181"/>
      <c r="AP396" s="181"/>
      <c r="AQ396" s="181"/>
    </row>
    <row r="397" spans="1:43">
      <c r="A397" s="186"/>
      <c r="B397" s="186"/>
      <c r="C397" s="186"/>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1"/>
      <c r="AB397" s="181"/>
      <c r="AC397" s="181"/>
      <c r="AD397" s="181"/>
      <c r="AE397" s="181"/>
      <c r="AF397" s="181"/>
      <c r="AG397" s="181"/>
      <c r="AH397" s="181"/>
      <c r="AI397" s="181"/>
      <c r="AJ397" s="181"/>
      <c r="AK397" s="181"/>
      <c r="AL397" s="181"/>
      <c r="AM397" s="181"/>
      <c r="AN397" s="181"/>
      <c r="AO397" s="181"/>
      <c r="AP397" s="181"/>
      <c r="AQ397" s="181"/>
    </row>
    <row r="398" spans="1:43">
      <c r="A398" s="186"/>
      <c r="B398" s="186"/>
      <c r="C398" s="186"/>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1"/>
      <c r="AB398" s="181"/>
      <c r="AC398" s="181"/>
      <c r="AD398" s="181"/>
      <c r="AE398" s="181"/>
      <c r="AF398" s="181"/>
      <c r="AG398" s="181"/>
      <c r="AH398" s="181"/>
      <c r="AI398" s="181"/>
      <c r="AJ398" s="181"/>
      <c r="AK398" s="181"/>
      <c r="AL398" s="181"/>
      <c r="AM398" s="181"/>
      <c r="AN398" s="181"/>
      <c r="AO398" s="181"/>
      <c r="AP398" s="181"/>
      <c r="AQ398" s="181"/>
    </row>
    <row r="399" spans="1:43">
      <c r="A399" s="186"/>
      <c r="B399" s="186"/>
      <c r="C399" s="186"/>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1"/>
      <c r="AB399" s="181"/>
      <c r="AC399" s="181"/>
      <c r="AD399" s="181"/>
      <c r="AE399" s="181"/>
      <c r="AF399" s="181"/>
      <c r="AG399" s="181"/>
      <c r="AH399" s="181"/>
      <c r="AI399" s="181"/>
      <c r="AJ399" s="181"/>
      <c r="AK399" s="181"/>
      <c r="AL399" s="181"/>
      <c r="AM399" s="181"/>
      <c r="AN399" s="181"/>
      <c r="AO399" s="181"/>
      <c r="AP399" s="181"/>
      <c r="AQ399" s="181"/>
    </row>
    <row r="400" spans="1:43">
      <c r="A400" s="186"/>
      <c r="B400" s="186"/>
      <c r="C400" s="186"/>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1"/>
      <c r="AB400" s="181"/>
      <c r="AC400" s="181"/>
      <c r="AD400" s="181"/>
      <c r="AE400" s="181"/>
      <c r="AF400" s="181"/>
      <c r="AG400" s="181"/>
      <c r="AH400" s="181"/>
      <c r="AI400" s="181"/>
      <c r="AJ400" s="181"/>
      <c r="AK400" s="181"/>
      <c r="AL400" s="181"/>
      <c r="AM400" s="181"/>
      <c r="AN400" s="181"/>
      <c r="AO400" s="181"/>
      <c r="AP400" s="181"/>
      <c r="AQ400" s="181"/>
    </row>
    <row r="401" spans="1:43">
      <c r="A401" s="186"/>
      <c r="B401" s="186"/>
      <c r="C401" s="186"/>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1"/>
      <c r="AB401" s="181"/>
      <c r="AC401" s="181"/>
      <c r="AD401" s="181"/>
      <c r="AE401" s="181"/>
      <c r="AF401" s="181"/>
      <c r="AG401" s="181"/>
      <c r="AH401" s="181"/>
      <c r="AI401" s="181"/>
      <c r="AJ401" s="181"/>
      <c r="AK401" s="181"/>
      <c r="AL401" s="181"/>
      <c r="AM401" s="181"/>
      <c r="AN401" s="181"/>
      <c r="AO401" s="181"/>
      <c r="AP401" s="181"/>
      <c r="AQ401" s="181"/>
    </row>
    <row r="402" spans="1:43">
      <c r="A402" s="186"/>
      <c r="B402" s="186"/>
      <c r="C402" s="186"/>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1"/>
      <c r="AB402" s="181"/>
      <c r="AC402" s="181"/>
      <c r="AD402" s="181"/>
      <c r="AE402" s="181"/>
      <c r="AF402" s="181"/>
      <c r="AG402" s="181"/>
      <c r="AH402" s="181"/>
      <c r="AI402" s="181"/>
      <c r="AJ402" s="181"/>
      <c r="AK402" s="181"/>
      <c r="AL402" s="181"/>
      <c r="AM402" s="181"/>
      <c r="AN402" s="181"/>
      <c r="AO402" s="181"/>
      <c r="AP402" s="181"/>
      <c r="AQ402" s="181"/>
    </row>
    <row r="403" spans="1:43">
      <c r="A403" s="186"/>
      <c r="B403" s="186"/>
      <c r="C403" s="186"/>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1"/>
      <c r="AB403" s="181"/>
      <c r="AC403" s="181"/>
      <c r="AD403" s="181"/>
      <c r="AE403" s="181"/>
      <c r="AF403" s="181"/>
      <c r="AG403" s="181"/>
      <c r="AH403" s="181"/>
      <c r="AI403" s="181"/>
      <c r="AJ403" s="181"/>
      <c r="AK403" s="181"/>
      <c r="AL403" s="181"/>
      <c r="AM403" s="181"/>
      <c r="AN403" s="181"/>
      <c r="AO403" s="181"/>
      <c r="AP403" s="181"/>
      <c r="AQ403" s="181"/>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9" orientation="portrait"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V342"/>
  <sheetViews>
    <sheetView view="pageBreakPreview" zoomScaleNormal="100" zoomScaleSheetLayoutView="100" workbookViewId="0">
      <pane xSplit="1" topLeftCell="B1" activePane="topRight" state="frozen"/>
      <selection pane="topRight" activeCell="AQ14" sqref="AQ14"/>
    </sheetView>
  </sheetViews>
  <sheetFormatPr defaultColWidth="8.7109375" defaultRowHeight="15" outlineLevelCol="1"/>
  <cols>
    <col min="1" max="2" width="47.7109375" style="90" customWidth="1"/>
    <col min="3" max="3" width="2.42578125" style="90" hidden="1" customWidth="1"/>
    <col min="4" max="25" width="12.7109375" style="77" hidden="1" customWidth="1" outlineLevel="1"/>
    <col min="26" max="29" width="12.7109375" style="78" hidden="1" customWidth="1" outlineLevel="1"/>
    <col min="30" max="30" width="12.7109375" style="79" hidden="1" customWidth="1" outlineLevel="1"/>
    <col min="31" max="31" width="12.7109375" style="78" hidden="1" customWidth="1" outlineLevel="1"/>
    <col min="32" max="33" width="12.7109375" style="80" hidden="1" customWidth="1" outlineLevel="1"/>
    <col min="34" max="35" width="12.7109375" style="81" hidden="1" customWidth="1" outlineLevel="1"/>
    <col min="36" max="36" width="12.7109375" style="81" customWidth="1" collapsed="1"/>
    <col min="37" max="43" width="12.7109375" style="81" customWidth="1"/>
    <col min="44" max="100" width="8.7109375" style="168"/>
    <col min="101" max="16384" width="8.7109375" style="79"/>
  </cols>
  <sheetData>
    <row r="1" spans="1:100" ht="18.75" customHeight="1">
      <c r="A1" s="633" t="s">
        <v>14</v>
      </c>
      <c r="B1" s="633" t="s">
        <v>414</v>
      </c>
      <c r="C1" s="633"/>
      <c r="D1" s="78"/>
      <c r="E1" s="78"/>
      <c r="F1" s="78"/>
      <c r="G1" s="78"/>
      <c r="H1" s="78"/>
      <c r="I1" s="78"/>
      <c r="J1" s="78"/>
      <c r="K1" s="78"/>
      <c r="L1" s="78"/>
      <c r="M1" s="78"/>
      <c r="N1" s="78"/>
      <c r="O1" s="78"/>
      <c r="P1" s="634"/>
      <c r="Q1" s="634"/>
      <c r="R1" s="634"/>
      <c r="S1" s="634"/>
      <c r="T1" s="634"/>
      <c r="U1" s="634"/>
      <c r="V1" s="634"/>
      <c r="W1" s="634"/>
      <c r="X1" s="78"/>
      <c r="Y1" s="78"/>
      <c r="AQ1" s="392" t="s">
        <v>800</v>
      </c>
    </row>
    <row r="2" spans="1:100">
      <c r="A2" s="633"/>
      <c r="B2" s="633"/>
      <c r="C2" s="633"/>
      <c r="D2" s="78"/>
      <c r="E2" s="78"/>
      <c r="F2" s="78"/>
      <c r="G2" s="78"/>
      <c r="H2" s="78"/>
      <c r="I2" s="78"/>
      <c r="J2" s="78"/>
      <c r="K2" s="78"/>
      <c r="L2" s="78"/>
      <c r="M2" s="78"/>
      <c r="N2" s="78"/>
      <c r="O2" s="78"/>
      <c r="P2" s="634" t="s">
        <v>108</v>
      </c>
      <c r="Q2" s="634" t="s">
        <v>108</v>
      </c>
      <c r="R2" s="634" t="s">
        <v>108</v>
      </c>
      <c r="S2" s="634" t="s">
        <v>108</v>
      </c>
      <c r="T2" s="634" t="s">
        <v>108</v>
      </c>
      <c r="U2" s="634" t="s">
        <v>108</v>
      </c>
      <c r="V2" s="634" t="s">
        <v>108</v>
      </c>
      <c r="W2" s="634"/>
      <c r="X2" s="78"/>
      <c r="Y2" s="78"/>
      <c r="AQ2" s="392" t="s">
        <v>801</v>
      </c>
    </row>
    <row r="3" spans="1:100" s="78" customFormat="1" ht="15.75" thickBot="1">
      <c r="A3" s="82" t="s">
        <v>12</v>
      </c>
      <c r="B3" s="262" t="s">
        <v>171</v>
      </c>
      <c r="C3" s="262"/>
      <c r="D3" s="263"/>
      <c r="E3" s="263"/>
      <c r="F3" s="263"/>
      <c r="G3" s="263"/>
      <c r="H3" s="263"/>
      <c r="I3" s="263"/>
      <c r="J3" s="263"/>
      <c r="K3" s="263"/>
      <c r="L3" s="263"/>
      <c r="M3" s="263"/>
      <c r="N3" s="263"/>
      <c r="O3" s="263"/>
      <c r="P3" s="131" t="s">
        <v>109</v>
      </c>
      <c r="Q3" s="131" t="s">
        <v>109</v>
      </c>
      <c r="R3" s="131" t="s">
        <v>109</v>
      </c>
      <c r="S3" s="131" t="s">
        <v>109</v>
      </c>
      <c r="T3" s="131" t="s">
        <v>109</v>
      </c>
      <c r="U3" s="131" t="s">
        <v>109</v>
      </c>
      <c r="V3" s="131" t="s">
        <v>109</v>
      </c>
      <c r="W3" s="131"/>
      <c r="X3" s="83"/>
      <c r="Y3" s="83"/>
      <c r="AC3" s="77"/>
      <c r="AE3" s="125"/>
      <c r="AF3" s="294"/>
      <c r="AG3" s="294"/>
      <c r="AH3" s="294"/>
      <c r="AI3" s="294"/>
      <c r="AJ3" s="294"/>
      <c r="AK3" s="80"/>
      <c r="AL3" s="80"/>
      <c r="AM3" s="80"/>
      <c r="AN3" s="80"/>
      <c r="AO3" s="80"/>
      <c r="AP3" s="80"/>
      <c r="AQ3" s="80"/>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row>
    <row r="4" spans="1:100" s="124" customFormat="1" ht="19.5" customHeight="1" thickBot="1">
      <c r="A4" s="618" t="s">
        <v>391</v>
      </c>
      <c r="B4" s="619" t="s">
        <v>180</v>
      </c>
      <c r="C4" s="619"/>
      <c r="D4" s="619" t="s">
        <v>24</v>
      </c>
      <c r="E4" s="619" t="s">
        <v>25</v>
      </c>
      <c r="F4" s="619" t="s">
        <v>26</v>
      </c>
      <c r="G4" s="619" t="s">
        <v>27</v>
      </c>
      <c r="H4" s="619" t="s">
        <v>28</v>
      </c>
      <c r="I4" s="619" t="s">
        <v>29</v>
      </c>
      <c r="J4" s="619" t="s">
        <v>30</v>
      </c>
      <c r="K4" s="619" t="s">
        <v>31</v>
      </c>
      <c r="L4" s="619" t="s">
        <v>32</v>
      </c>
      <c r="M4" s="619" t="s">
        <v>33</v>
      </c>
      <c r="N4" s="619" t="s">
        <v>34</v>
      </c>
      <c r="O4" s="619" t="s">
        <v>35</v>
      </c>
      <c r="P4" s="619" t="s">
        <v>36</v>
      </c>
      <c r="Q4" s="619" t="s">
        <v>37</v>
      </c>
      <c r="R4" s="619" t="s">
        <v>38</v>
      </c>
      <c r="S4" s="619" t="s">
        <v>39</v>
      </c>
      <c r="T4" s="619" t="s">
        <v>40</v>
      </c>
      <c r="U4" s="619" t="s">
        <v>41</v>
      </c>
      <c r="V4" s="619" t="s">
        <v>42</v>
      </c>
      <c r="W4" s="619" t="s">
        <v>43</v>
      </c>
      <c r="X4" s="619" t="s">
        <v>110</v>
      </c>
      <c r="Y4" s="619" t="s">
        <v>111</v>
      </c>
      <c r="Z4" s="619" t="s">
        <v>113</v>
      </c>
      <c r="AA4" s="619" t="s">
        <v>120</v>
      </c>
      <c r="AB4" s="619" t="s">
        <v>114</v>
      </c>
      <c r="AC4" s="619" t="s">
        <v>116</v>
      </c>
      <c r="AD4" s="619" t="s">
        <v>117</v>
      </c>
      <c r="AE4" s="619" t="s">
        <v>119</v>
      </c>
      <c r="AF4" s="620" t="s">
        <v>121</v>
      </c>
      <c r="AG4" s="620" t="s">
        <v>123</v>
      </c>
      <c r="AH4" s="620" t="s">
        <v>124</v>
      </c>
      <c r="AI4" s="620" t="s">
        <v>125</v>
      </c>
      <c r="AJ4" s="620" t="s">
        <v>127</v>
      </c>
      <c r="AK4" s="620" t="s">
        <v>128</v>
      </c>
      <c r="AL4" s="620" t="s">
        <v>129</v>
      </c>
      <c r="AM4" s="620" t="s">
        <v>130</v>
      </c>
      <c r="AN4" s="620" t="s">
        <v>131</v>
      </c>
      <c r="AO4" s="620" t="s">
        <v>223</v>
      </c>
      <c r="AP4" s="620" t="s">
        <v>224</v>
      </c>
      <c r="AQ4" s="621" t="s">
        <v>511</v>
      </c>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row>
    <row r="5" spans="1:100" s="84" customFormat="1" ht="27" customHeight="1">
      <c r="A5" s="612" t="s">
        <v>729</v>
      </c>
      <c r="B5" s="613" t="s">
        <v>405</v>
      </c>
      <c r="C5" s="613"/>
      <c r="D5" s="614">
        <v>75.206999999999994</v>
      </c>
      <c r="E5" s="614">
        <v>112.77700000000002</v>
      </c>
      <c r="F5" s="614">
        <v>66.861999999999995</v>
      </c>
      <c r="G5" s="614">
        <v>71.259000000000043</v>
      </c>
      <c r="H5" s="614">
        <v>58.234999999999999</v>
      </c>
      <c r="I5" s="614">
        <v>57.512</v>
      </c>
      <c r="J5" s="614">
        <v>119.434</v>
      </c>
      <c r="K5" s="614">
        <v>88.737999999999985</v>
      </c>
      <c r="L5" s="614">
        <v>71.254999999999995</v>
      </c>
      <c r="M5" s="614">
        <v>61.76400000000001</v>
      </c>
      <c r="N5" s="614">
        <v>52.420999999999999</v>
      </c>
      <c r="O5" s="614">
        <v>70.61099999999999</v>
      </c>
      <c r="P5" s="614">
        <v>60.598999999999997</v>
      </c>
      <c r="Q5" s="614">
        <v>66.652999999999992</v>
      </c>
      <c r="R5" s="614">
        <v>89.25</v>
      </c>
      <c r="S5" s="614">
        <v>114.72200000000001</v>
      </c>
      <c r="T5" s="614">
        <v>66.686000000000007</v>
      </c>
      <c r="U5" s="614">
        <v>71.300999999999988</v>
      </c>
      <c r="V5" s="614">
        <v>99.403999999999996</v>
      </c>
      <c r="W5" s="614">
        <v>101.89400000000003</v>
      </c>
      <c r="X5" s="614">
        <v>51.606999999999999</v>
      </c>
      <c r="Y5" s="614">
        <v>61.64</v>
      </c>
      <c r="Z5" s="614">
        <v>68.331999999999994</v>
      </c>
      <c r="AA5" s="614">
        <v>67.435999999999993</v>
      </c>
      <c r="AB5" s="614">
        <v>37.531999999999996</v>
      </c>
      <c r="AC5" s="614">
        <v>61.363</v>
      </c>
      <c r="AD5" s="614">
        <v>56.426000000000002</v>
      </c>
      <c r="AE5" s="614">
        <v>45.078999999999994</v>
      </c>
      <c r="AF5" s="614">
        <v>33.838999999999999</v>
      </c>
      <c r="AG5" s="614">
        <v>116.258</v>
      </c>
      <c r="AH5" s="614">
        <v>93</v>
      </c>
      <c r="AI5" s="614">
        <v>69.903000000000006</v>
      </c>
      <c r="AJ5" s="614">
        <v>64</v>
      </c>
      <c r="AK5" s="614">
        <v>212</v>
      </c>
      <c r="AL5" s="614">
        <v>103</v>
      </c>
      <c r="AM5" s="614">
        <v>93</v>
      </c>
      <c r="AN5" s="614">
        <v>85</v>
      </c>
      <c r="AO5" s="614">
        <v>103</v>
      </c>
      <c r="AP5" s="614">
        <v>107</v>
      </c>
      <c r="AQ5" s="617">
        <v>93</v>
      </c>
      <c r="AR5" s="171"/>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row>
    <row r="6" spans="1:100" s="85" customFormat="1" ht="27">
      <c r="A6" s="583" t="s">
        <v>491</v>
      </c>
      <c r="B6" s="584" t="s">
        <v>498</v>
      </c>
      <c r="C6" s="584"/>
      <c r="D6" s="585">
        <v>4.55</v>
      </c>
      <c r="E6" s="585">
        <v>22.83</v>
      </c>
      <c r="F6" s="585">
        <v>22.533999999999999</v>
      </c>
      <c r="G6" s="585">
        <v>17.310000000000006</v>
      </c>
      <c r="H6" s="585">
        <v>14.148</v>
      </c>
      <c r="I6" s="585">
        <v>11.465</v>
      </c>
      <c r="J6" s="585">
        <v>12.429</v>
      </c>
      <c r="K6" s="585">
        <v>13.213000000000001</v>
      </c>
      <c r="L6" s="585">
        <v>19.945</v>
      </c>
      <c r="M6" s="585">
        <v>21.972999999999999</v>
      </c>
      <c r="N6" s="585">
        <v>18.117000000000001</v>
      </c>
      <c r="O6" s="585">
        <v>16.600999999999992</v>
      </c>
      <c r="P6" s="585">
        <v>14.739000000000001</v>
      </c>
      <c r="Q6" s="585">
        <v>21.563999999999997</v>
      </c>
      <c r="R6" s="585">
        <v>42.115000000000002</v>
      </c>
      <c r="S6" s="585">
        <v>14.262000000000008</v>
      </c>
      <c r="T6" s="585">
        <v>10.901999999999999</v>
      </c>
      <c r="U6" s="585">
        <v>31.496000000000002</v>
      </c>
      <c r="V6" s="585">
        <v>33.613999999999997</v>
      </c>
      <c r="W6" s="585">
        <v>33.143999999999991</v>
      </c>
      <c r="X6" s="585">
        <v>21.57</v>
      </c>
      <c r="Y6" s="585">
        <v>38.738999999999997</v>
      </c>
      <c r="Z6" s="585">
        <v>28.042000000000002</v>
      </c>
      <c r="AA6" s="585">
        <v>37.734999999999999</v>
      </c>
      <c r="AB6" s="585">
        <v>52.283000000000001</v>
      </c>
      <c r="AC6" s="585">
        <v>7.1829999999999998</v>
      </c>
      <c r="AD6" s="585">
        <v>8.8699999999999992</v>
      </c>
      <c r="AE6" s="585">
        <v>-26.135999999999996</v>
      </c>
      <c r="AF6" s="585">
        <v>22.196000000000002</v>
      </c>
      <c r="AG6" s="585">
        <v>28.686</v>
      </c>
      <c r="AH6" s="585">
        <v>61</v>
      </c>
      <c r="AI6" s="585">
        <v>-25.882000000000001</v>
      </c>
      <c r="AJ6" s="622">
        <v>8</v>
      </c>
      <c r="AK6" s="622">
        <v>14</v>
      </c>
      <c r="AL6" s="622">
        <v>12</v>
      </c>
      <c r="AM6" s="622">
        <v>61</v>
      </c>
      <c r="AN6" s="622">
        <v>13</v>
      </c>
      <c r="AO6" s="622">
        <v>12</v>
      </c>
      <c r="AP6" s="622">
        <v>10</v>
      </c>
      <c r="AQ6" s="623">
        <v>22</v>
      </c>
      <c r="AR6" s="171"/>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row>
    <row r="7" spans="1:100" s="84" customFormat="1" ht="27" customHeight="1">
      <c r="A7" s="583" t="s">
        <v>231</v>
      </c>
      <c r="B7" s="584" t="s">
        <v>406</v>
      </c>
      <c r="C7" s="584"/>
      <c r="D7" s="585">
        <v>4.8689999999999998</v>
      </c>
      <c r="E7" s="585">
        <v>5.7460000000000004</v>
      </c>
      <c r="F7" s="585">
        <v>9.4359999999999999</v>
      </c>
      <c r="G7" s="585">
        <v>12.338999999999999</v>
      </c>
      <c r="H7" s="585">
        <v>8.766</v>
      </c>
      <c r="I7" s="585">
        <v>5.5519999999999996</v>
      </c>
      <c r="J7" s="585">
        <v>4.1970000000000001</v>
      </c>
      <c r="K7" s="585">
        <v>4.9280000000000026</v>
      </c>
      <c r="L7" s="585">
        <v>6.7190000000000003</v>
      </c>
      <c r="M7" s="585">
        <v>4.3709999999999996</v>
      </c>
      <c r="N7" s="585">
        <v>4.7539999999999996</v>
      </c>
      <c r="O7" s="585">
        <v>3.3750000000000009</v>
      </c>
      <c r="P7" s="585">
        <v>11.377000000000001</v>
      </c>
      <c r="Q7" s="585">
        <v>3.5149999999999988</v>
      </c>
      <c r="R7" s="585">
        <v>6.7969999999999997</v>
      </c>
      <c r="S7" s="585">
        <v>13.679000000000004</v>
      </c>
      <c r="T7" s="585">
        <v>13.715</v>
      </c>
      <c r="U7" s="585">
        <v>16.591999999999999</v>
      </c>
      <c r="V7" s="585">
        <v>16.565000000000001</v>
      </c>
      <c r="W7" s="585">
        <v>12.938000000000006</v>
      </c>
      <c r="X7" s="585">
        <v>9.3650000000000002</v>
      </c>
      <c r="Y7" s="585">
        <v>30.058</v>
      </c>
      <c r="Z7" s="585">
        <v>7.1219999999999999</v>
      </c>
      <c r="AA7" s="585">
        <v>-11.004000000000003</v>
      </c>
      <c r="AB7" s="585">
        <v>8.7309999999999999</v>
      </c>
      <c r="AC7" s="585">
        <v>16.968</v>
      </c>
      <c r="AD7" s="585">
        <v>8.6240000000000006</v>
      </c>
      <c r="AE7" s="585">
        <v>19.377000000000002</v>
      </c>
      <c r="AF7" s="585">
        <v>12.331</v>
      </c>
      <c r="AG7" s="585">
        <v>16.652000000000001</v>
      </c>
      <c r="AH7" s="585">
        <v>21</v>
      </c>
      <c r="AI7" s="585">
        <v>30.016999999999999</v>
      </c>
      <c r="AJ7" s="593">
        <v>12</v>
      </c>
      <c r="AK7" s="593">
        <v>4</v>
      </c>
      <c r="AL7" s="593">
        <v>4</v>
      </c>
      <c r="AM7" s="593">
        <v>2</v>
      </c>
      <c r="AN7" s="585">
        <v>7</v>
      </c>
      <c r="AO7" s="585">
        <v>2</v>
      </c>
      <c r="AP7" s="585">
        <v>5</v>
      </c>
      <c r="AQ7" s="587">
        <v>5</v>
      </c>
      <c r="AR7" s="171"/>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row>
    <row r="8" spans="1:100" s="84" customFormat="1" ht="27" customHeight="1">
      <c r="A8" s="583" t="s">
        <v>232</v>
      </c>
      <c r="B8" s="584" t="s">
        <v>503</v>
      </c>
      <c r="C8" s="584"/>
      <c r="D8" s="585">
        <v>5.8719999999999999</v>
      </c>
      <c r="E8" s="585">
        <v>5.1159999999999997</v>
      </c>
      <c r="F8" s="585">
        <v>6.7859999999999996</v>
      </c>
      <c r="G8" s="585">
        <v>3.8400000000000016</v>
      </c>
      <c r="H8" s="585">
        <v>4.3209999999999997</v>
      </c>
      <c r="I8" s="585">
        <v>5.0619999999999994</v>
      </c>
      <c r="J8" s="585">
        <v>7.101</v>
      </c>
      <c r="K8" s="585">
        <v>4.2460000000000022</v>
      </c>
      <c r="L8" s="585">
        <v>3.5089999999999999</v>
      </c>
      <c r="M8" s="585">
        <v>5.020999999999999</v>
      </c>
      <c r="N8" s="585">
        <v>6.8150000000000004</v>
      </c>
      <c r="O8" s="585">
        <v>5.2849999999999984</v>
      </c>
      <c r="P8" s="585">
        <v>4.1100000000000003</v>
      </c>
      <c r="Q8" s="585">
        <v>5.3299999999999992</v>
      </c>
      <c r="R8" s="585">
        <v>5.4649999999999999</v>
      </c>
      <c r="S8" s="585">
        <v>6.7870000000000017</v>
      </c>
      <c r="T8" s="585">
        <v>4.9829999999999997</v>
      </c>
      <c r="U8" s="585">
        <v>4.9270000000000005</v>
      </c>
      <c r="V8" s="585">
        <v>4.7729999999999997</v>
      </c>
      <c r="W8" s="585">
        <v>4.8540000000000001</v>
      </c>
      <c r="X8" s="585">
        <v>4.774</v>
      </c>
      <c r="Y8" s="585">
        <v>4.5580000000000007</v>
      </c>
      <c r="Z8" s="585">
        <v>4.3170000000000002</v>
      </c>
      <c r="AA8" s="585">
        <v>4.9420000000000011</v>
      </c>
      <c r="AB8" s="585">
        <v>5.0839999999999996</v>
      </c>
      <c r="AC8" s="585">
        <v>5.4960000000000004</v>
      </c>
      <c r="AD8" s="585">
        <v>5.9169999999999998</v>
      </c>
      <c r="AE8" s="585">
        <v>6.8030000000000026</v>
      </c>
      <c r="AF8" s="585">
        <v>6.2489999999999997</v>
      </c>
      <c r="AG8" s="585">
        <v>6.766</v>
      </c>
      <c r="AH8" s="585">
        <v>5</v>
      </c>
      <c r="AI8" s="585">
        <v>7.9850000000000003</v>
      </c>
      <c r="AJ8" s="593">
        <v>6</v>
      </c>
      <c r="AK8" s="593">
        <v>7</v>
      </c>
      <c r="AL8" s="593">
        <v>8</v>
      </c>
      <c r="AM8" s="593">
        <v>6</v>
      </c>
      <c r="AN8" s="586">
        <v>6</v>
      </c>
      <c r="AO8" s="586">
        <v>3</v>
      </c>
      <c r="AP8" s="586">
        <v>4</v>
      </c>
      <c r="AQ8" s="624">
        <v>6</v>
      </c>
      <c r="AR8" s="171"/>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row>
    <row r="9" spans="1:100" s="84" customFormat="1" ht="27">
      <c r="A9" s="583" t="s">
        <v>233</v>
      </c>
      <c r="B9" s="584" t="s">
        <v>407</v>
      </c>
      <c r="C9" s="584"/>
      <c r="D9" s="585">
        <v>2.387</v>
      </c>
      <c r="E9" s="585">
        <v>12.427999999999999</v>
      </c>
      <c r="F9" s="585">
        <v>3.3540000000000001</v>
      </c>
      <c r="G9" s="585">
        <v>1.9150000000000014</v>
      </c>
      <c r="H9" s="585">
        <v>1.085</v>
      </c>
      <c r="I9" s="585">
        <v>0.45300000000000007</v>
      </c>
      <c r="J9" s="585">
        <v>1.802</v>
      </c>
      <c r="K9" s="585">
        <v>1.6370000000000005</v>
      </c>
      <c r="L9" s="585">
        <v>0.28000000000000003</v>
      </c>
      <c r="M9" s="585">
        <v>0.16899999999999998</v>
      </c>
      <c r="N9" s="585">
        <v>0.77700000000000002</v>
      </c>
      <c r="O9" s="585">
        <v>4.1100000000000003</v>
      </c>
      <c r="P9" s="585">
        <v>3.0619999999999998</v>
      </c>
      <c r="Q9" s="585">
        <v>12.97</v>
      </c>
      <c r="R9" s="585"/>
      <c r="S9" s="585">
        <v>-12.97</v>
      </c>
      <c r="T9" s="585">
        <v>0.96799999999999997</v>
      </c>
      <c r="U9" s="585">
        <v>1.5470000000000002</v>
      </c>
      <c r="V9" s="585"/>
      <c r="W9" s="585">
        <v>5.7809999999999988</v>
      </c>
      <c r="X9" s="585">
        <v>2.0990000000000002</v>
      </c>
      <c r="Y9" s="585">
        <v>3.7930000000000001</v>
      </c>
      <c r="Z9" s="585">
        <v>3.3879999999999999</v>
      </c>
      <c r="AA9" s="585">
        <v>8.8550000000000004</v>
      </c>
      <c r="AB9" s="585">
        <v>9.5220000000000002</v>
      </c>
      <c r="AC9" s="585">
        <v>4.1769999999999996</v>
      </c>
      <c r="AD9" s="585">
        <v>3.57</v>
      </c>
      <c r="AE9" s="585">
        <v>25.731000000000002</v>
      </c>
      <c r="AF9" s="585">
        <v>1.2529999999999999</v>
      </c>
      <c r="AG9" s="585">
        <v>0.628</v>
      </c>
      <c r="AH9" s="585">
        <v>4</v>
      </c>
      <c r="AI9" s="585">
        <v>1.119</v>
      </c>
      <c r="AJ9" s="593">
        <v>1</v>
      </c>
      <c r="AK9" s="593">
        <v>1</v>
      </c>
      <c r="AL9" s="593">
        <v>1</v>
      </c>
      <c r="AM9" s="593">
        <v>0</v>
      </c>
      <c r="AN9" s="585">
        <v>3</v>
      </c>
      <c r="AO9" s="585">
        <v>1</v>
      </c>
      <c r="AP9" s="585"/>
      <c r="AQ9" s="587">
        <v>3</v>
      </c>
      <c r="AR9" s="171"/>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row>
    <row r="10" spans="1:100" s="84" customFormat="1" ht="27">
      <c r="A10" s="583" t="s">
        <v>486</v>
      </c>
      <c r="B10" s="584" t="s">
        <v>499</v>
      </c>
      <c r="C10" s="584"/>
      <c r="D10" s="585"/>
      <c r="E10" s="585">
        <v>0.245</v>
      </c>
      <c r="F10" s="585">
        <v>0</v>
      </c>
      <c r="G10" s="585">
        <v>0.26700000000000002</v>
      </c>
      <c r="H10" s="585">
        <v>0.57699999999999996</v>
      </c>
      <c r="I10" s="585">
        <v>0</v>
      </c>
      <c r="J10" s="585">
        <v>0</v>
      </c>
      <c r="K10" s="585">
        <v>0.84899999999999998</v>
      </c>
      <c r="L10" s="585"/>
      <c r="M10" s="585">
        <v>0</v>
      </c>
      <c r="N10" s="585"/>
      <c r="O10" s="585">
        <v>0</v>
      </c>
      <c r="P10" s="585"/>
      <c r="Q10" s="585">
        <v>0</v>
      </c>
      <c r="R10" s="585"/>
      <c r="S10" s="585">
        <v>3.1179999999999999</v>
      </c>
      <c r="T10" s="585"/>
      <c r="U10" s="585">
        <v>0</v>
      </c>
      <c r="V10" s="585"/>
      <c r="W10" s="585">
        <v>314.80200000000002</v>
      </c>
      <c r="X10" s="585"/>
      <c r="Y10" s="585">
        <v>0</v>
      </c>
      <c r="Z10" s="585"/>
      <c r="AA10" s="585">
        <v>3.4209999999999998</v>
      </c>
      <c r="AB10" s="585"/>
      <c r="AC10" s="585"/>
      <c r="AD10" s="585"/>
      <c r="AE10" s="585">
        <v>0</v>
      </c>
      <c r="AF10" s="585"/>
      <c r="AG10" s="585"/>
      <c r="AH10" s="585">
        <v>77</v>
      </c>
      <c r="AI10" s="585">
        <v>0</v>
      </c>
      <c r="AJ10" s="593">
        <v>0</v>
      </c>
      <c r="AK10" s="593"/>
      <c r="AL10" s="593"/>
      <c r="AM10" s="593">
        <v>0</v>
      </c>
      <c r="AN10" s="585"/>
      <c r="AO10" s="585">
        <v>11</v>
      </c>
      <c r="AP10" s="585">
        <v>0</v>
      </c>
      <c r="AQ10" s="587">
        <v>14</v>
      </c>
      <c r="AR10" s="171"/>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row>
    <row r="11" spans="1:100" s="86" customFormat="1" ht="43.5" customHeight="1">
      <c r="A11" s="602" t="s">
        <v>234</v>
      </c>
      <c r="B11" s="588" t="s">
        <v>497</v>
      </c>
      <c r="C11" s="588"/>
      <c r="D11" s="625"/>
      <c r="E11" s="625"/>
      <c r="F11" s="625"/>
      <c r="G11" s="589">
        <v>117.02</v>
      </c>
      <c r="H11" s="625"/>
      <c r="I11" s="625"/>
      <c r="J11" s="625"/>
      <c r="K11" s="625"/>
      <c r="L11" s="625"/>
      <c r="M11" s="625"/>
      <c r="N11" s="625"/>
      <c r="O11" s="625"/>
      <c r="P11" s="625"/>
      <c r="Q11" s="625"/>
      <c r="R11" s="625"/>
      <c r="S11" s="625"/>
      <c r="T11" s="625"/>
      <c r="U11" s="625">
        <v>0</v>
      </c>
      <c r="V11" s="625"/>
      <c r="W11" s="625"/>
      <c r="X11" s="625"/>
      <c r="Y11" s="625">
        <v>0</v>
      </c>
      <c r="Z11" s="625"/>
      <c r="AA11" s="597"/>
      <c r="AB11" s="625"/>
      <c r="AC11" s="625"/>
      <c r="AD11" s="625"/>
      <c r="AE11" s="625">
        <v>0</v>
      </c>
      <c r="AF11" s="625"/>
      <c r="AG11" s="625"/>
      <c r="AH11" s="625"/>
      <c r="AI11" s="625">
        <v>0</v>
      </c>
      <c r="AJ11" s="626"/>
      <c r="AK11" s="626"/>
      <c r="AL11" s="626"/>
      <c r="AM11" s="590">
        <v>2</v>
      </c>
      <c r="AN11" s="625"/>
      <c r="AO11" s="625"/>
      <c r="AP11" s="589">
        <v>4</v>
      </c>
      <c r="AQ11" s="627">
        <v>11</v>
      </c>
      <c r="AR11" s="171"/>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row>
    <row r="12" spans="1:100" s="86" customFormat="1" ht="24.75" customHeight="1">
      <c r="A12" s="602" t="s">
        <v>235</v>
      </c>
      <c r="B12" s="588" t="s">
        <v>496</v>
      </c>
      <c r="C12" s="588"/>
      <c r="D12" s="625"/>
      <c r="E12" s="625"/>
      <c r="F12" s="625"/>
      <c r="G12" s="625">
        <v>0</v>
      </c>
      <c r="H12" s="625"/>
      <c r="I12" s="625"/>
      <c r="J12" s="625"/>
      <c r="K12" s="625"/>
      <c r="L12" s="625"/>
      <c r="M12" s="625"/>
      <c r="N12" s="625"/>
      <c r="O12" s="625"/>
      <c r="P12" s="625"/>
      <c r="Q12" s="625"/>
      <c r="R12" s="625"/>
      <c r="S12" s="625"/>
      <c r="T12" s="625"/>
      <c r="U12" s="625">
        <v>0</v>
      </c>
      <c r="V12" s="625"/>
      <c r="W12" s="625"/>
      <c r="X12" s="625"/>
      <c r="Y12" s="625">
        <v>0</v>
      </c>
      <c r="Z12" s="625"/>
      <c r="AA12" s="597"/>
      <c r="AB12" s="625"/>
      <c r="AC12" s="625"/>
      <c r="AD12" s="625"/>
      <c r="AE12" s="625">
        <v>0</v>
      </c>
      <c r="AF12" s="625"/>
      <c r="AG12" s="625"/>
      <c r="AH12" s="625"/>
      <c r="AI12" s="625">
        <v>0</v>
      </c>
      <c r="AJ12" s="628">
        <v>3</v>
      </c>
      <c r="AK12" s="628">
        <v>1</v>
      </c>
      <c r="AL12" s="590">
        <v>16</v>
      </c>
      <c r="AM12" s="590">
        <v>1</v>
      </c>
      <c r="AN12" s="625"/>
      <c r="AO12" s="625"/>
      <c r="AP12" s="591">
        <v>3</v>
      </c>
      <c r="AQ12" s="592">
        <v>1</v>
      </c>
      <c r="AR12" s="171"/>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row>
    <row r="13" spans="1:100" s="84" customFormat="1" ht="15" customHeight="1">
      <c r="A13" s="583" t="s">
        <v>242</v>
      </c>
      <c r="B13" s="584" t="s">
        <v>408</v>
      </c>
      <c r="C13" s="584"/>
      <c r="D13" s="585">
        <v>31.911999999999999</v>
      </c>
      <c r="E13" s="585">
        <v>27.308</v>
      </c>
      <c r="F13" s="585">
        <v>36.116</v>
      </c>
      <c r="G13" s="585">
        <v>-95.335999999999999</v>
      </c>
      <c r="H13" s="585">
        <v>4.8899999999999997</v>
      </c>
      <c r="I13" s="585">
        <v>17.271999999999998</v>
      </c>
      <c r="J13" s="585">
        <v>4.1609999999999996</v>
      </c>
      <c r="K13" s="585">
        <v>17.314999999999998</v>
      </c>
      <c r="L13" s="585">
        <v>16.074000000000002</v>
      </c>
      <c r="M13" s="585">
        <v>19.029</v>
      </c>
      <c r="N13" s="585">
        <v>17.974</v>
      </c>
      <c r="O13" s="585">
        <v>20.773999999999997</v>
      </c>
      <c r="P13" s="585">
        <v>15.718999999999999</v>
      </c>
      <c r="Q13" s="585">
        <v>18.007999999999996</v>
      </c>
      <c r="R13" s="585">
        <v>5.4370000000000003</v>
      </c>
      <c r="S13" s="585">
        <v>37.061</v>
      </c>
      <c r="T13" s="585">
        <v>14.88</v>
      </c>
      <c r="U13" s="585">
        <v>12.045999999999998</v>
      </c>
      <c r="V13" s="585">
        <v>12.759</v>
      </c>
      <c r="W13" s="585">
        <v>189.834</v>
      </c>
      <c r="X13" s="585">
        <v>18.536000000000001</v>
      </c>
      <c r="Y13" s="585">
        <v>26.855000000000004</v>
      </c>
      <c r="Z13" s="585">
        <v>27.311</v>
      </c>
      <c r="AA13" s="585">
        <f>42.118+5.17</f>
        <v>47.288000000000004</v>
      </c>
      <c r="AB13" s="585">
        <v>26.754999999999999</v>
      </c>
      <c r="AC13" s="585">
        <v>38.896000000000001</v>
      </c>
      <c r="AD13" s="585">
        <v>27.731000000000002</v>
      </c>
      <c r="AE13" s="585">
        <v>57.118000000000009</v>
      </c>
      <c r="AF13" s="585">
        <v>47.735999999999997</v>
      </c>
      <c r="AG13" s="585">
        <v>16.350000000000001</v>
      </c>
      <c r="AH13" s="585">
        <v>11</v>
      </c>
      <c r="AI13" s="585">
        <v>-15.085999999999999</v>
      </c>
      <c r="AJ13" s="585">
        <v>24</v>
      </c>
      <c r="AK13" s="585">
        <v>35</v>
      </c>
      <c r="AL13" s="585">
        <v>19</v>
      </c>
      <c r="AM13" s="585">
        <v>12</v>
      </c>
      <c r="AN13" s="585">
        <v>43</v>
      </c>
      <c r="AO13" s="585">
        <v>28</v>
      </c>
      <c r="AP13" s="585">
        <v>15</v>
      </c>
      <c r="AQ13" s="587">
        <v>10</v>
      </c>
      <c r="AR13" s="171"/>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row>
    <row r="14" spans="1:100" s="124" customFormat="1">
      <c r="A14" s="629" t="s">
        <v>228</v>
      </c>
      <c r="B14" s="630" t="s">
        <v>353</v>
      </c>
      <c r="C14" s="630"/>
      <c r="D14" s="608">
        <v>124.797</v>
      </c>
      <c r="E14" s="608">
        <v>186.45000000000002</v>
      </c>
      <c r="F14" s="608">
        <v>145.08799999999999</v>
      </c>
      <c r="G14" s="608">
        <v>128.61399999999998</v>
      </c>
      <c r="H14" s="608">
        <v>92.022000000000006</v>
      </c>
      <c r="I14" s="608">
        <v>97.315999999999988</v>
      </c>
      <c r="J14" s="608">
        <v>149.124</v>
      </c>
      <c r="K14" s="608">
        <v>130.92600000000004</v>
      </c>
      <c r="L14" s="608">
        <v>117.782</v>
      </c>
      <c r="M14" s="608">
        <v>112.32700000000001</v>
      </c>
      <c r="N14" s="608">
        <v>100.858</v>
      </c>
      <c r="O14" s="608">
        <v>120.75600000000001</v>
      </c>
      <c r="P14" s="608">
        <v>109.60599999999999</v>
      </c>
      <c r="Q14" s="608">
        <v>128.04</v>
      </c>
      <c r="R14" s="608">
        <v>149.06399999999999</v>
      </c>
      <c r="S14" s="608">
        <v>176.65900000000011</v>
      </c>
      <c r="T14" s="608">
        <v>112.134</v>
      </c>
      <c r="U14" s="608">
        <v>138.44900000000001</v>
      </c>
      <c r="V14" s="608">
        <v>167.11500000000001</v>
      </c>
      <c r="W14" s="608">
        <v>663.24699999999984</v>
      </c>
      <c r="X14" s="608">
        <v>108</v>
      </c>
      <c r="Y14" s="608">
        <v>165.59399999999999</v>
      </c>
      <c r="Z14" s="608">
        <v>139</v>
      </c>
      <c r="AA14" s="608">
        <v>159</v>
      </c>
      <c r="AB14" s="631">
        <v>140</v>
      </c>
      <c r="AC14" s="631">
        <v>134</v>
      </c>
      <c r="AD14" s="631">
        <v>111.13800000000001</v>
      </c>
      <c r="AE14" s="631">
        <v>127.96199999999999</v>
      </c>
      <c r="AF14" s="631">
        <v>123.604</v>
      </c>
      <c r="AG14" s="631">
        <v>185.34</v>
      </c>
      <c r="AH14" s="631">
        <v>272</v>
      </c>
      <c r="AI14" s="631">
        <v>68.055999999999997</v>
      </c>
      <c r="AJ14" s="631">
        <v>118</v>
      </c>
      <c r="AK14" s="631">
        <v>274</v>
      </c>
      <c r="AL14" s="631">
        <v>163</v>
      </c>
      <c r="AM14" s="631">
        <v>178</v>
      </c>
      <c r="AN14" s="631">
        <v>157</v>
      </c>
      <c r="AO14" s="631">
        <v>160</v>
      </c>
      <c r="AP14" s="631">
        <v>148</v>
      </c>
      <c r="AQ14" s="632">
        <v>165</v>
      </c>
      <c r="AR14" s="171"/>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row>
    <row r="15" spans="1:100">
      <c r="A15" s="636"/>
      <c r="B15" s="637"/>
      <c r="C15" s="637"/>
      <c r="D15" s="638"/>
      <c r="E15" s="78"/>
      <c r="F15" s="78"/>
      <c r="G15" s="78"/>
      <c r="H15" s="638"/>
      <c r="I15" s="78"/>
      <c r="J15" s="78"/>
      <c r="K15" s="78"/>
      <c r="L15" s="78"/>
      <c r="M15" s="78"/>
      <c r="N15" s="78"/>
      <c r="O15" s="78"/>
      <c r="P15" s="78"/>
      <c r="Q15" s="78"/>
      <c r="R15" s="78"/>
      <c r="S15" s="78"/>
      <c r="T15" s="78"/>
      <c r="U15" s="78"/>
      <c r="V15" s="78"/>
      <c r="W15" s="639"/>
      <c r="X15" s="78"/>
      <c r="Y15" s="78"/>
      <c r="Z15" s="88"/>
      <c r="AD15" s="88"/>
      <c r="AK15" s="130"/>
      <c r="AN15" s="130"/>
    </row>
    <row r="16" spans="1:100" ht="19.5" customHeight="1" thickBot="1">
      <c r="A16" s="82" t="s">
        <v>13</v>
      </c>
      <c r="B16" s="82" t="s">
        <v>237</v>
      </c>
      <c r="C16" s="82"/>
      <c r="P16" s="83"/>
      <c r="Q16" s="83"/>
      <c r="R16" s="83"/>
      <c r="S16" s="83"/>
      <c r="T16" s="83"/>
      <c r="U16" s="83"/>
      <c r="V16" s="83"/>
      <c r="W16" s="83"/>
      <c r="X16" s="83"/>
      <c r="Y16" s="83"/>
    </row>
    <row r="17" spans="1:100" s="124" customFormat="1" ht="19.5" customHeight="1" thickBot="1">
      <c r="A17" s="618" t="s">
        <v>391</v>
      </c>
      <c r="B17" s="619" t="s">
        <v>180</v>
      </c>
      <c r="C17" s="619"/>
      <c r="D17" s="619" t="s">
        <v>24</v>
      </c>
      <c r="E17" s="619" t="s">
        <v>25</v>
      </c>
      <c r="F17" s="619" t="s">
        <v>26</v>
      </c>
      <c r="G17" s="619" t="s">
        <v>27</v>
      </c>
      <c r="H17" s="619" t="s">
        <v>28</v>
      </c>
      <c r="I17" s="619" t="s">
        <v>29</v>
      </c>
      <c r="J17" s="619" t="s">
        <v>30</v>
      </c>
      <c r="K17" s="619" t="s">
        <v>31</v>
      </c>
      <c r="L17" s="619" t="s">
        <v>32</v>
      </c>
      <c r="M17" s="619" t="s">
        <v>33</v>
      </c>
      <c r="N17" s="619" t="s">
        <v>34</v>
      </c>
      <c r="O17" s="619" t="s">
        <v>35</v>
      </c>
      <c r="P17" s="619" t="s">
        <v>36</v>
      </c>
      <c r="Q17" s="619" t="s">
        <v>37</v>
      </c>
      <c r="R17" s="619" t="s">
        <v>38</v>
      </c>
      <c r="S17" s="619" t="s">
        <v>39</v>
      </c>
      <c r="T17" s="619" t="s">
        <v>40</v>
      </c>
      <c r="U17" s="619" t="s">
        <v>41</v>
      </c>
      <c r="V17" s="619" t="s">
        <v>42</v>
      </c>
      <c r="W17" s="619" t="s">
        <v>43</v>
      </c>
      <c r="X17" s="619" t="s">
        <v>110</v>
      </c>
      <c r="Y17" s="619" t="s">
        <v>111</v>
      </c>
      <c r="Z17" s="619" t="s">
        <v>113</v>
      </c>
      <c r="AA17" s="619" t="s">
        <v>120</v>
      </c>
      <c r="AB17" s="619" t="s">
        <v>114</v>
      </c>
      <c r="AC17" s="619" t="s">
        <v>116</v>
      </c>
      <c r="AD17" s="619" t="s">
        <v>117</v>
      </c>
      <c r="AE17" s="619" t="s">
        <v>119</v>
      </c>
      <c r="AF17" s="620" t="s">
        <v>121</v>
      </c>
      <c r="AG17" s="620" t="s">
        <v>123</v>
      </c>
      <c r="AH17" s="620" t="s">
        <v>124</v>
      </c>
      <c r="AI17" s="620" t="s">
        <v>125</v>
      </c>
      <c r="AJ17" s="620" t="s">
        <v>127</v>
      </c>
      <c r="AK17" s="620" t="s">
        <v>128</v>
      </c>
      <c r="AL17" s="620" t="s">
        <v>129</v>
      </c>
      <c r="AM17" s="620" t="s">
        <v>130</v>
      </c>
      <c r="AN17" s="620" t="s">
        <v>131</v>
      </c>
      <c r="AO17" s="620" t="s">
        <v>223</v>
      </c>
      <c r="AP17" s="620" t="s">
        <v>224</v>
      </c>
      <c r="AQ17" s="621" t="s">
        <v>511</v>
      </c>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row>
    <row r="18" spans="1:100" s="84" customFormat="1" ht="15" customHeight="1">
      <c r="A18" s="612" t="s">
        <v>238</v>
      </c>
      <c r="B18" s="613" t="s">
        <v>409</v>
      </c>
      <c r="C18" s="613"/>
      <c r="D18" s="614">
        <v>-39.179000000000002</v>
      </c>
      <c r="E18" s="614">
        <v>-50.036999999999992</v>
      </c>
      <c r="F18" s="614">
        <v>-42.17</v>
      </c>
      <c r="G18" s="614">
        <v>-47.998999999999981</v>
      </c>
      <c r="H18" s="614">
        <v>-29.837</v>
      </c>
      <c r="I18" s="614">
        <v>-24.254999999999999</v>
      </c>
      <c r="J18" s="614">
        <v>-69.813999999999993</v>
      </c>
      <c r="K18" s="614">
        <v>-76.63000000000001</v>
      </c>
      <c r="L18" s="614">
        <v>-42.954999999999998</v>
      </c>
      <c r="M18" s="614">
        <v>-52.685000000000002</v>
      </c>
      <c r="N18" s="614">
        <v>-39.840000000000003</v>
      </c>
      <c r="O18" s="615">
        <v>-36</v>
      </c>
      <c r="P18" s="614">
        <v>-40.475999999999999</v>
      </c>
      <c r="Q18" s="614">
        <v>-43.334000000000003</v>
      </c>
      <c r="R18" s="614">
        <v>-57.046999999999997</v>
      </c>
      <c r="S18" s="614">
        <v>-80.150000000000006</v>
      </c>
      <c r="T18" s="614">
        <v>-42.164000000000001</v>
      </c>
      <c r="U18" s="614">
        <v>-67.811999999999998</v>
      </c>
      <c r="V18" s="614">
        <v>-80.037999999999997</v>
      </c>
      <c r="W18" s="614">
        <v>-83.545999999999992</v>
      </c>
      <c r="X18" s="614">
        <v>-31.725999999999999</v>
      </c>
      <c r="Y18" s="614">
        <v>-32.680000000000007</v>
      </c>
      <c r="Z18" s="614">
        <v>-25.673999999999999</v>
      </c>
      <c r="AA18" s="614">
        <v>-56.864999999999981</v>
      </c>
      <c r="AB18" s="614">
        <v>-15.349</v>
      </c>
      <c r="AC18" s="614">
        <v>-30.791</v>
      </c>
      <c r="AD18" s="614">
        <v>-23.777999999999999</v>
      </c>
      <c r="AE18" s="614">
        <v>-21.282</v>
      </c>
      <c r="AF18" s="614">
        <v>-12.919</v>
      </c>
      <c r="AG18" s="614">
        <v>-82.887</v>
      </c>
      <c r="AH18" s="614">
        <v>-31</v>
      </c>
      <c r="AI18" s="614">
        <v>-22.793999999999993</v>
      </c>
      <c r="AJ18" s="616">
        <v>-10</v>
      </c>
      <c r="AK18" s="614">
        <v>-80</v>
      </c>
      <c r="AL18" s="614">
        <v>-19</v>
      </c>
      <c r="AM18" s="614">
        <v>-9</v>
      </c>
      <c r="AN18" s="614">
        <v>-6</v>
      </c>
      <c r="AO18" s="614">
        <v>-12</v>
      </c>
      <c r="AP18" s="614">
        <v>-8</v>
      </c>
      <c r="AQ18" s="617">
        <v>-6</v>
      </c>
      <c r="AR18" s="172"/>
      <c r="AS18" s="172"/>
      <c r="AT18" s="171"/>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row>
    <row r="19" spans="1:100" s="86" customFormat="1" ht="27">
      <c r="A19" s="583" t="s">
        <v>485</v>
      </c>
      <c r="B19" s="588" t="s">
        <v>410</v>
      </c>
      <c r="C19" s="588"/>
      <c r="D19" s="585">
        <v>-6.6619999999999999</v>
      </c>
      <c r="E19" s="585">
        <v>-20.555</v>
      </c>
      <c r="F19" s="585">
        <v>-15.43</v>
      </c>
      <c r="G19" s="585">
        <v>-17.621000000000002</v>
      </c>
      <c r="H19" s="585">
        <v>-15.183</v>
      </c>
      <c r="I19" s="585">
        <v>-10.189</v>
      </c>
      <c r="J19" s="585">
        <v>-10.853999999999999</v>
      </c>
      <c r="K19" s="585">
        <v>-11.881</v>
      </c>
      <c r="L19" s="585">
        <v>-19.055</v>
      </c>
      <c r="M19" s="585">
        <v>-11.454000000000001</v>
      </c>
      <c r="N19" s="585">
        <v>-18.039000000000001</v>
      </c>
      <c r="O19" s="585">
        <v>-21.397999999999996</v>
      </c>
      <c r="P19" s="585">
        <v>-15.584</v>
      </c>
      <c r="Q19" s="585">
        <v>-22.294</v>
      </c>
      <c r="R19" s="585">
        <v>43.771000000000001</v>
      </c>
      <c r="S19" s="585">
        <v>-105.62600000000002</v>
      </c>
      <c r="T19" s="585">
        <v>-12.582000000000001</v>
      </c>
      <c r="U19" s="585">
        <v>58.185000000000002</v>
      </c>
      <c r="V19" s="585">
        <v>-23.558</v>
      </c>
      <c r="W19" s="585">
        <v>-23.531999999999989</v>
      </c>
      <c r="X19" s="589">
        <v>-22.571999999999999</v>
      </c>
      <c r="Y19" s="589">
        <v>-24.791</v>
      </c>
      <c r="Z19" s="589">
        <v>-33.512999999999998</v>
      </c>
      <c r="AA19" s="589">
        <v>-29.259999999999994</v>
      </c>
      <c r="AB19" s="589">
        <v>-32.426000000000002</v>
      </c>
      <c r="AC19" s="589">
        <v>-14.616</v>
      </c>
      <c r="AD19" s="589">
        <v>-7.6029999999999998</v>
      </c>
      <c r="AE19" s="589">
        <v>25.945</v>
      </c>
      <c r="AF19" s="589">
        <v>-21.262</v>
      </c>
      <c r="AG19" s="589">
        <v>-28.306000000000001</v>
      </c>
      <c r="AH19" s="589">
        <v>-6</v>
      </c>
      <c r="AI19" s="589">
        <v>22.668000000000003</v>
      </c>
      <c r="AJ19" s="589">
        <v>-10</v>
      </c>
      <c r="AK19" s="590">
        <v>-1</v>
      </c>
      <c r="AL19" s="590">
        <v>-2</v>
      </c>
      <c r="AM19" s="590">
        <v>-8</v>
      </c>
      <c r="AN19" s="591">
        <v>-7</v>
      </c>
      <c r="AO19" s="591">
        <v>-7</v>
      </c>
      <c r="AP19" s="591">
        <v>-5</v>
      </c>
      <c r="AQ19" s="592">
        <v>-6</v>
      </c>
      <c r="AR19" s="174"/>
      <c r="AS19" s="174"/>
      <c r="AT19" s="171"/>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row>
    <row r="20" spans="1:100" s="84" customFormat="1" ht="15" customHeight="1">
      <c r="A20" s="583" t="s">
        <v>239</v>
      </c>
      <c r="B20" s="584" t="s">
        <v>411</v>
      </c>
      <c r="C20" s="584"/>
      <c r="D20" s="585">
        <v>-0.40600000000000003</v>
      </c>
      <c r="E20" s="585">
        <v>-1.867</v>
      </c>
      <c r="F20" s="585">
        <v>-0.32200000000000001</v>
      </c>
      <c r="G20" s="585">
        <v>-1.0529999999999999</v>
      </c>
      <c r="H20" s="585">
        <v>-1.248</v>
      </c>
      <c r="I20" s="585">
        <v>-0.71199999999999997</v>
      </c>
      <c r="J20" s="585">
        <v>-1.25</v>
      </c>
      <c r="K20" s="585">
        <v>-1.0860000000000005</v>
      </c>
      <c r="L20" s="585">
        <v>-1.6850000000000001</v>
      </c>
      <c r="M20" s="585">
        <v>-4.6039999999999992</v>
      </c>
      <c r="N20" s="585">
        <v>-1.7130000000000001</v>
      </c>
      <c r="O20" s="585">
        <v>-3.5690000000000013</v>
      </c>
      <c r="P20" s="585">
        <v>-3.5870000000000002</v>
      </c>
      <c r="Q20" s="585">
        <v>-4.3940000000000001</v>
      </c>
      <c r="R20" s="585"/>
      <c r="S20" s="585">
        <v>-4.8339999999999996</v>
      </c>
      <c r="T20" s="585">
        <v>-0.58599999999999997</v>
      </c>
      <c r="U20" s="585">
        <v>-6.976</v>
      </c>
      <c r="V20" s="585"/>
      <c r="W20" s="585">
        <v>-3.5959999999999996</v>
      </c>
      <c r="X20" s="585">
        <v>-1.3420000000000001</v>
      </c>
      <c r="Y20" s="585">
        <v>-4.9819999999999993</v>
      </c>
      <c r="Z20" s="585">
        <v>-8.3140000000000001</v>
      </c>
      <c r="AA20" s="585">
        <v>-0.33099999999999907</v>
      </c>
      <c r="AB20" s="585">
        <v>-0.31</v>
      </c>
      <c r="AC20" s="585">
        <v>-1.768</v>
      </c>
      <c r="AD20" s="585">
        <v>-5.1360000000000001</v>
      </c>
      <c r="AE20" s="585">
        <v>-4.1860000000000008</v>
      </c>
      <c r="AF20" s="585">
        <v>-0.92500000000000004</v>
      </c>
      <c r="AG20" s="585">
        <v>-12.846</v>
      </c>
      <c r="AH20" s="585">
        <v>0</v>
      </c>
      <c r="AI20" s="585">
        <v>-17.329000000000001</v>
      </c>
      <c r="AJ20" s="585">
        <v>-9</v>
      </c>
      <c r="AK20" s="585">
        <v>-4</v>
      </c>
      <c r="AL20" s="585">
        <v>-6</v>
      </c>
      <c r="AM20" s="585">
        <v>-4</v>
      </c>
      <c r="AN20" s="585">
        <v>-19</v>
      </c>
      <c r="AO20" s="585">
        <v>0</v>
      </c>
      <c r="AP20" s="585">
        <v>-8</v>
      </c>
      <c r="AQ20" s="587">
        <v>-26</v>
      </c>
      <c r="AR20" s="172"/>
      <c r="AS20" s="172"/>
      <c r="AT20" s="171"/>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row>
    <row r="21" spans="1:100" s="85" customFormat="1" ht="15" customHeight="1">
      <c r="A21" s="583" t="s">
        <v>240</v>
      </c>
      <c r="B21" s="584" t="s">
        <v>412</v>
      </c>
      <c r="C21" s="584"/>
      <c r="D21" s="585">
        <v>-1.367</v>
      </c>
      <c r="E21" s="585">
        <v>-1.4319999999999999</v>
      </c>
      <c r="F21" s="585">
        <v>-1.0089999999999999</v>
      </c>
      <c r="G21" s="585">
        <v>-1.1959999999999997</v>
      </c>
      <c r="H21" s="585">
        <v>-1.367</v>
      </c>
      <c r="I21" s="585">
        <v>-0.81499999999999995</v>
      </c>
      <c r="J21" s="585">
        <v>-1.0669999999999999</v>
      </c>
      <c r="K21" s="585">
        <v>-1.129</v>
      </c>
      <c r="L21" s="585">
        <v>-1.0960000000000001</v>
      </c>
      <c r="M21" s="585">
        <v>-1.1629999999999998</v>
      </c>
      <c r="N21" s="585">
        <v>-1.1479999999999999</v>
      </c>
      <c r="O21" s="585">
        <v>-1.2890000000000001</v>
      </c>
      <c r="P21" s="585">
        <v>-1.222</v>
      </c>
      <c r="Q21" s="585">
        <v>-1.4510000000000001</v>
      </c>
      <c r="R21" s="585"/>
      <c r="S21" s="585">
        <v>-3.2059999999999991</v>
      </c>
      <c r="T21" s="585">
        <v>-1.663</v>
      </c>
      <c r="U21" s="585">
        <v>-1.1260000000000001</v>
      </c>
      <c r="V21" s="585"/>
      <c r="W21" s="585">
        <v>-2.419999999999999</v>
      </c>
      <c r="X21" s="585">
        <v>-1.3640000000000001</v>
      </c>
      <c r="Y21" s="585">
        <v>-1.0639999999999998</v>
      </c>
      <c r="Z21" s="585">
        <v>-0.81100000000000005</v>
      </c>
      <c r="AA21" s="585">
        <v>-1.0929999999999997</v>
      </c>
      <c r="AB21" s="585">
        <v>-1.325</v>
      </c>
      <c r="AC21" s="585">
        <v>-1.597</v>
      </c>
      <c r="AD21" s="585">
        <v>-2.1789999999999998</v>
      </c>
      <c r="AE21" s="585">
        <v>-2.399</v>
      </c>
      <c r="AF21" s="593">
        <v>-4.1619999999999999</v>
      </c>
      <c r="AG21" s="593">
        <v>-3.9609999999999999</v>
      </c>
      <c r="AH21" s="593">
        <v>-4</v>
      </c>
      <c r="AI21" s="593">
        <v>-5.8770000000000007</v>
      </c>
      <c r="AJ21" s="593">
        <v>-5</v>
      </c>
      <c r="AK21" s="593">
        <v>-4</v>
      </c>
      <c r="AL21" s="593">
        <v>-4</v>
      </c>
      <c r="AM21" s="593">
        <v>-4</v>
      </c>
      <c r="AN21" s="593">
        <v>-4</v>
      </c>
      <c r="AO21" s="593">
        <v>-4</v>
      </c>
      <c r="AP21" s="593">
        <v>-3</v>
      </c>
      <c r="AQ21" s="594">
        <v>-6</v>
      </c>
      <c r="AR21" s="173"/>
      <c r="AS21" s="173"/>
      <c r="AT21" s="171"/>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row>
    <row r="22" spans="1:100" s="85" customFormat="1" ht="27">
      <c r="A22" s="583" t="s">
        <v>395</v>
      </c>
      <c r="B22" s="595" t="s">
        <v>500</v>
      </c>
      <c r="C22" s="595"/>
      <c r="D22" s="596"/>
      <c r="E22" s="596"/>
      <c r="F22" s="596"/>
      <c r="G22" s="596"/>
      <c r="H22" s="596"/>
      <c r="I22" s="596"/>
      <c r="J22" s="596"/>
      <c r="K22" s="596"/>
      <c r="L22" s="596"/>
      <c r="M22" s="596"/>
      <c r="N22" s="596"/>
      <c r="O22" s="596"/>
      <c r="P22" s="596"/>
      <c r="Q22" s="596"/>
      <c r="R22" s="596"/>
      <c r="S22" s="596"/>
      <c r="T22" s="596"/>
      <c r="U22" s="596">
        <v>0</v>
      </c>
      <c r="V22" s="596"/>
      <c r="W22" s="596"/>
      <c r="X22" s="596"/>
      <c r="Y22" s="596">
        <v>0</v>
      </c>
      <c r="Z22" s="596"/>
      <c r="AA22" s="597"/>
      <c r="AB22" s="596"/>
      <c r="AC22" s="596"/>
      <c r="AD22" s="596"/>
      <c r="AE22" s="596">
        <v>0</v>
      </c>
      <c r="AF22" s="597"/>
      <c r="AG22" s="597"/>
      <c r="AH22" s="597"/>
      <c r="AI22" s="598"/>
      <c r="AJ22" s="597"/>
      <c r="AK22" s="597"/>
      <c r="AL22" s="597"/>
      <c r="AM22" s="597"/>
      <c r="AN22" s="599"/>
      <c r="AO22" s="599">
        <v>-62</v>
      </c>
      <c r="AP22" s="597"/>
      <c r="AQ22" s="600"/>
      <c r="AR22" s="173"/>
      <c r="AS22" s="173"/>
      <c r="AT22" s="171"/>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row>
    <row r="23" spans="1:100" s="85" customFormat="1" ht="15" customHeight="1">
      <c r="A23" s="583" t="s">
        <v>241</v>
      </c>
      <c r="B23" s="601" t="s">
        <v>501</v>
      </c>
      <c r="C23" s="601"/>
      <c r="D23" s="596"/>
      <c r="E23" s="596"/>
      <c r="F23" s="596"/>
      <c r="G23" s="596"/>
      <c r="H23" s="596"/>
      <c r="I23" s="596"/>
      <c r="J23" s="596"/>
      <c r="K23" s="596"/>
      <c r="L23" s="596"/>
      <c r="M23" s="596"/>
      <c r="N23" s="596"/>
      <c r="O23" s="596"/>
      <c r="P23" s="596"/>
      <c r="Q23" s="596"/>
      <c r="R23" s="596"/>
      <c r="S23" s="596"/>
      <c r="T23" s="596"/>
      <c r="U23" s="596">
        <v>0</v>
      </c>
      <c r="V23" s="596"/>
      <c r="W23" s="596"/>
      <c r="X23" s="596"/>
      <c r="Y23" s="596">
        <v>0</v>
      </c>
      <c r="Z23" s="596"/>
      <c r="AA23" s="597"/>
      <c r="AB23" s="596"/>
      <c r="AC23" s="596"/>
      <c r="AD23" s="596"/>
      <c r="AE23" s="596">
        <v>0</v>
      </c>
      <c r="AF23" s="597"/>
      <c r="AG23" s="597"/>
      <c r="AH23" s="597"/>
      <c r="AI23" s="598"/>
      <c r="AJ23" s="597"/>
      <c r="AK23" s="597"/>
      <c r="AL23" s="599">
        <v>-1</v>
      </c>
      <c r="AM23" s="599">
        <v>-3</v>
      </c>
      <c r="AN23" s="599"/>
      <c r="AO23" s="599">
        <v>-5</v>
      </c>
      <c r="AP23" s="597"/>
      <c r="AQ23" s="600"/>
      <c r="AR23" s="173"/>
      <c r="AS23" s="173"/>
      <c r="AT23" s="171"/>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row>
    <row r="24" spans="1:100" s="84" customFormat="1">
      <c r="A24" s="602" t="s">
        <v>392</v>
      </c>
      <c r="B24" s="584" t="s">
        <v>502</v>
      </c>
      <c r="C24" s="584"/>
      <c r="D24" s="596"/>
      <c r="E24" s="596"/>
      <c r="F24" s="596"/>
      <c r="G24" s="596"/>
      <c r="H24" s="596"/>
      <c r="I24" s="596"/>
      <c r="J24" s="596"/>
      <c r="K24" s="596"/>
      <c r="L24" s="596"/>
      <c r="M24" s="596"/>
      <c r="N24" s="596"/>
      <c r="O24" s="596"/>
      <c r="P24" s="596"/>
      <c r="Q24" s="596"/>
      <c r="R24" s="596"/>
      <c r="S24" s="596"/>
      <c r="T24" s="596"/>
      <c r="U24" s="596">
        <v>0</v>
      </c>
      <c r="V24" s="596"/>
      <c r="W24" s="596"/>
      <c r="X24" s="596"/>
      <c r="Y24" s="596">
        <v>0</v>
      </c>
      <c r="Z24" s="596"/>
      <c r="AA24" s="597"/>
      <c r="AB24" s="596"/>
      <c r="AC24" s="596"/>
      <c r="AD24" s="603"/>
      <c r="AE24" s="603">
        <v>0</v>
      </c>
      <c r="AF24" s="597"/>
      <c r="AG24" s="597"/>
      <c r="AH24" s="604"/>
      <c r="AI24" s="598"/>
      <c r="AJ24" s="604"/>
      <c r="AK24" s="604"/>
      <c r="AL24" s="605">
        <v>-13</v>
      </c>
      <c r="AM24" s="605">
        <v>-9</v>
      </c>
      <c r="AN24" s="605">
        <v>-3</v>
      </c>
      <c r="AO24" s="605">
        <v>-22</v>
      </c>
      <c r="AP24" s="605">
        <v>-2</v>
      </c>
      <c r="AQ24" s="606">
        <v>-16</v>
      </c>
      <c r="AR24" s="172"/>
      <c r="AS24" s="172"/>
      <c r="AT24" s="171"/>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row>
    <row r="25" spans="1:100" s="84" customFormat="1" ht="15" customHeight="1">
      <c r="A25" s="583" t="s">
        <v>242</v>
      </c>
      <c r="B25" s="584" t="s">
        <v>413</v>
      </c>
      <c r="C25" s="584"/>
      <c r="D25" s="585">
        <v>-31.212</v>
      </c>
      <c r="E25" s="585">
        <v>-2.2690000000000019</v>
      </c>
      <c r="F25" s="585">
        <v>-22.032</v>
      </c>
      <c r="G25" s="585">
        <v>-20.247999999999994</v>
      </c>
      <c r="H25" s="585">
        <v>-15.579000000000001</v>
      </c>
      <c r="I25" s="585">
        <v>-13.417999999999999</v>
      </c>
      <c r="J25" s="585">
        <v>-3.2810000000000001</v>
      </c>
      <c r="K25" s="585">
        <v>-4.1409999999999982</v>
      </c>
      <c r="L25" s="585">
        <v>-6.7380000000000004</v>
      </c>
      <c r="M25" s="585">
        <v>-8.6069999999999993</v>
      </c>
      <c r="N25" s="585">
        <v>-8.5399999999999991</v>
      </c>
      <c r="O25" s="585">
        <v>-27.545000000000002</v>
      </c>
      <c r="P25" s="585">
        <v>-13.656000000000001</v>
      </c>
      <c r="Q25" s="585">
        <v>-16.499000000000002</v>
      </c>
      <c r="R25" s="585">
        <v>-3.552</v>
      </c>
      <c r="S25" s="585">
        <v>-12.573999999999996</v>
      </c>
      <c r="T25" s="585">
        <v>-13.298</v>
      </c>
      <c r="U25" s="585">
        <v>-25.244</v>
      </c>
      <c r="V25" s="585">
        <v>-24.577999999999999</v>
      </c>
      <c r="W25" s="585">
        <v>-25.459999999999994</v>
      </c>
      <c r="X25" s="585">
        <v>-16.515999999999998</v>
      </c>
      <c r="Y25" s="585">
        <v>-38.908999999999999</v>
      </c>
      <c r="Z25" s="585">
        <v>-4.9749999999999996</v>
      </c>
      <c r="AA25" s="585">
        <v>-11.416000000000011</v>
      </c>
      <c r="AB25" s="585">
        <v>-7.5359999999999996</v>
      </c>
      <c r="AC25" s="585">
        <v>-38.369</v>
      </c>
      <c r="AD25" s="585">
        <v>-14.461</v>
      </c>
      <c r="AE25" s="585">
        <v>-36.433999999999997</v>
      </c>
      <c r="AF25" s="599">
        <v>-24.154</v>
      </c>
      <c r="AG25" s="599">
        <v>-24.456</v>
      </c>
      <c r="AH25" s="605">
        <v>-53</v>
      </c>
      <c r="AI25" s="605">
        <v>3.8100000000000023</v>
      </c>
      <c r="AJ25" s="605">
        <v>-5</v>
      </c>
      <c r="AK25" s="605">
        <v>-10</v>
      </c>
      <c r="AL25" s="605">
        <v>-7</v>
      </c>
      <c r="AM25" s="605">
        <v>-39</v>
      </c>
      <c r="AN25" s="605">
        <v>-19</v>
      </c>
      <c r="AO25" s="605">
        <v>-14</v>
      </c>
      <c r="AP25" s="605">
        <v>-24</v>
      </c>
      <c r="AQ25" s="606">
        <v>-19</v>
      </c>
      <c r="AR25" s="172"/>
      <c r="AS25" s="172"/>
      <c r="AT25" s="171"/>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row>
    <row r="26" spans="1:100" s="275" customFormat="1">
      <c r="A26" s="544" t="s">
        <v>228</v>
      </c>
      <c r="B26" s="607" t="s">
        <v>353</v>
      </c>
      <c r="C26" s="607"/>
      <c r="D26" s="608">
        <v>-78.876000000000005</v>
      </c>
      <c r="E26" s="608">
        <v>-76.109999999999985</v>
      </c>
      <c r="F26" s="608">
        <v>-80.962999999999994</v>
      </c>
      <c r="G26" s="608">
        <v>-88.11699999999999</v>
      </c>
      <c r="H26" s="608">
        <v>-62.948999999999998</v>
      </c>
      <c r="I26" s="608">
        <v>-49.653999999999996</v>
      </c>
      <c r="J26" s="608">
        <v>-86.266000000000005</v>
      </c>
      <c r="K26" s="608">
        <v>-94.866999999999976</v>
      </c>
      <c r="L26" s="608">
        <v>-71.528999999999996</v>
      </c>
      <c r="M26" s="608">
        <v>-78.513000000000005</v>
      </c>
      <c r="N26" s="608">
        <v>-69.28</v>
      </c>
      <c r="O26" s="608">
        <v>-89.863999999999976</v>
      </c>
      <c r="P26" s="608">
        <v>-74.525000000000006</v>
      </c>
      <c r="Q26" s="608">
        <v>-87.972000000000008</v>
      </c>
      <c r="R26" s="608">
        <v>-104.37</v>
      </c>
      <c r="S26" s="608">
        <v>-118.84799999999996</v>
      </c>
      <c r="T26" s="608">
        <v>-70.293000000000006</v>
      </c>
      <c r="U26" s="608">
        <v>-134.179</v>
      </c>
      <c r="V26" s="608">
        <v>-128.17400000000001</v>
      </c>
      <c r="W26" s="608">
        <v>-138.55399999999995</v>
      </c>
      <c r="X26" s="607">
        <v>-74</v>
      </c>
      <c r="Y26" s="609">
        <v>-101.946</v>
      </c>
      <c r="Z26" s="610">
        <v>-73</v>
      </c>
      <c r="AA26" s="610">
        <v>-99.197999999999979</v>
      </c>
      <c r="AB26" s="610">
        <v>-57</v>
      </c>
      <c r="AC26" s="610">
        <v>-87</v>
      </c>
      <c r="AD26" s="610">
        <v>-53.156999999999996</v>
      </c>
      <c r="AE26" s="610">
        <v>-38.442999999999984</v>
      </c>
      <c r="AF26" s="610">
        <v>-63.421999999999997</v>
      </c>
      <c r="AG26" s="610">
        <v>-152.45599999999999</v>
      </c>
      <c r="AH26" s="610">
        <v>-94</v>
      </c>
      <c r="AI26" s="610">
        <v>-20.122000000000014</v>
      </c>
      <c r="AJ26" s="610">
        <v>-39</v>
      </c>
      <c r="AK26" s="610">
        <v>-99</v>
      </c>
      <c r="AL26" s="610">
        <v>-51</v>
      </c>
      <c r="AM26" s="610">
        <v>-77</v>
      </c>
      <c r="AN26" s="610">
        <v>-58</v>
      </c>
      <c r="AO26" s="610">
        <v>-126</v>
      </c>
      <c r="AP26" s="610">
        <v>-50</v>
      </c>
      <c r="AQ26" s="611">
        <v>-79</v>
      </c>
      <c r="AR26" s="272"/>
      <c r="AS26" s="273"/>
      <c r="AT26" s="274"/>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row>
    <row r="27" spans="1:100" s="87" customFormat="1" ht="15.75" thickBot="1">
      <c r="A27" s="640"/>
      <c r="B27" s="79"/>
      <c r="C27" s="79"/>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177"/>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row>
    <row r="28" spans="1:100" s="125" customFormat="1" ht="15.75" thickBot="1">
      <c r="A28" s="578" t="s">
        <v>14</v>
      </c>
      <c r="B28" s="579" t="s">
        <v>173</v>
      </c>
      <c r="C28" s="579"/>
      <c r="D28" s="580">
        <v>45.920999999999999</v>
      </c>
      <c r="E28" s="580">
        <v>110.34</v>
      </c>
      <c r="F28" s="580">
        <v>64.125</v>
      </c>
      <c r="G28" s="580">
        <v>40.497</v>
      </c>
      <c r="H28" s="580">
        <v>29.073</v>
      </c>
      <c r="I28" s="580">
        <v>47.661999999999999</v>
      </c>
      <c r="J28" s="580">
        <v>62.857999999999997</v>
      </c>
      <c r="K28" s="580">
        <v>36.058999999999997</v>
      </c>
      <c r="L28" s="580">
        <v>46.253</v>
      </c>
      <c r="M28" s="580">
        <v>33.814</v>
      </c>
      <c r="N28" s="580">
        <v>31.577999999999999</v>
      </c>
      <c r="O28" s="580">
        <v>30.891999999999999</v>
      </c>
      <c r="P28" s="580">
        <v>35.081000000000003</v>
      </c>
      <c r="Q28" s="580">
        <v>40.067999999999998</v>
      </c>
      <c r="R28" s="580">
        <v>44.694000000000003</v>
      </c>
      <c r="S28" s="580">
        <v>57.811</v>
      </c>
      <c r="T28" s="580">
        <v>41.841000000000001</v>
      </c>
      <c r="U28" s="580">
        <v>4.2699999999999996</v>
      </c>
      <c r="V28" s="580">
        <v>38.941000000000003</v>
      </c>
      <c r="W28" s="580"/>
      <c r="X28" s="580">
        <v>34.430999999999997</v>
      </c>
      <c r="Y28" s="580">
        <v>63.216999999999999</v>
      </c>
      <c r="Z28" s="580">
        <v>65.224999999999994</v>
      </c>
      <c r="AA28" s="580">
        <v>59.707999999999998</v>
      </c>
      <c r="AB28" s="581">
        <f t="shared" ref="AB28:AI28" si="0">AB14+AB26</f>
        <v>83</v>
      </c>
      <c r="AC28" s="581">
        <f t="shared" si="0"/>
        <v>47</v>
      </c>
      <c r="AD28" s="581">
        <f t="shared" si="0"/>
        <v>57.981000000000009</v>
      </c>
      <c r="AE28" s="581">
        <f t="shared" si="0"/>
        <v>89.519000000000005</v>
      </c>
      <c r="AF28" s="581">
        <f t="shared" si="0"/>
        <v>60.182000000000002</v>
      </c>
      <c r="AG28" s="581">
        <f t="shared" si="0"/>
        <v>32.884000000000015</v>
      </c>
      <c r="AH28" s="581">
        <f t="shared" si="0"/>
        <v>178</v>
      </c>
      <c r="AI28" s="581">
        <f t="shared" si="0"/>
        <v>47.933999999999983</v>
      </c>
      <c r="AJ28" s="581">
        <v>79</v>
      </c>
      <c r="AK28" s="581">
        <f>AK14+AK26</f>
        <v>175</v>
      </c>
      <c r="AL28" s="581">
        <v>112</v>
      </c>
      <c r="AM28" s="581">
        <f>AM14+AM26</f>
        <v>101</v>
      </c>
      <c r="AN28" s="581">
        <f>AN14+AN26</f>
        <v>99</v>
      </c>
      <c r="AO28" s="581">
        <f>AO14+AO26</f>
        <v>34</v>
      </c>
      <c r="AP28" s="581">
        <f>AP14+AP26</f>
        <v>98</v>
      </c>
      <c r="AQ28" s="582">
        <f>AQ14+AQ26</f>
        <v>86</v>
      </c>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c r="CV28" s="169"/>
    </row>
    <row r="29" spans="1:100" s="168" customFormat="1">
      <c r="A29" s="178"/>
    </row>
    <row r="30" spans="1:100" s="168" customFormat="1"/>
    <row r="31" spans="1:100" s="168" customFormat="1"/>
    <row r="32" spans="1:100" s="168" customFormat="1"/>
    <row r="33" spans="1:43" s="168" customFormat="1"/>
    <row r="34" spans="1:43" s="168" customFormat="1"/>
    <row r="35" spans="1:43" s="168" customFormat="1">
      <c r="A35" s="178"/>
      <c r="B35" s="178"/>
      <c r="C35" s="178"/>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E35" s="169"/>
      <c r="AF35" s="179"/>
      <c r="AG35" s="179"/>
      <c r="AH35" s="176"/>
      <c r="AI35" s="176"/>
      <c r="AJ35" s="176"/>
      <c r="AK35" s="176"/>
      <c r="AL35" s="176"/>
      <c r="AM35" s="176"/>
      <c r="AN35" s="176"/>
      <c r="AO35" s="176"/>
      <c r="AP35" s="176"/>
      <c r="AQ35" s="176"/>
    </row>
    <row r="36" spans="1:43" s="168" customFormat="1">
      <c r="A36" s="178"/>
      <c r="B36" s="178"/>
      <c r="C36" s="178"/>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E36" s="169"/>
      <c r="AF36" s="179"/>
      <c r="AG36" s="179"/>
      <c r="AH36" s="176"/>
      <c r="AI36" s="176"/>
      <c r="AJ36" s="176"/>
      <c r="AK36" s="176"/>
      <c r="AL36" s="176"/>
      <c r="AM36" s="176"/>
      <c r="AN36" s="176"/>
      <c r="AO36" s="176"/>
      <c r="AP36" s="176"/>
      <c r="AQ36" s="176"/>
    </row>
    <row r="37" spans="1:43" s="168" customFormat="1">
      <c r="A37" s="178"/>
      <c r="B37" s="178"/>
      <c r="C37" s="178"/>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E37" s="169"/>
      <c r="AF37" s="179"/>
      <c r="AG37" s="179"/>
      <c r="AH37" s="176"/>
      <c r="AI37" s="176"/>
      <c r="AJ37" s="176"/>
      <c r="AK37" s="176"/>
      <c r="AL37" s="176"/>
      <c r="AM37" s="176"/>
      <c r="AN37" s="176"/>
      <c r="AO37" s="176"/>
      <c r="AP37" s="176"/>
      <c r="AQ37" s="176"/>
    </row>
    <row r="38" spans="1:43" s="168" customFormat="1">
      <c r="A38" s="178"/>
      <c r="B38" s="178"/>
      <c r="C38" s="178"/>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E38" s="169"/>
      <c r="AF38" s="179"/>
      <c r="AG38" s="179"/>
      <c r="AH38" s="176"/>
      <c r="AI38" s="176"/>
      <c r="AJ38" s="176"/>
      <c r="AK38" s="176"/>
      <c r="AL38" s="176"/>
      <c r="AM38" s="176"/>
      <c r="AN38" s="176"/>
      <c r="AO38" s="176"/>
      <c r="AP38" s="176"/>
      <c r="AQ38" s="176"/>
    </row>
    <row r="39" spans="1:43" s="168" customFormat="1">
      <c r="A39" s="178"/>
      <c r="B39" s="178"/>
      <c r="C39" s="178"/>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E39" s="169"/>
      <c r="AF39" s="179"/>
      <c r="AG39" s="179"/>
      <c r="AH39" s="176"/>
      <c r="AI39" s="176"/>
      <c r="AJ39" s="176"/>
      <c r="AK39" s="176"/>
      <c r="AL39" s="176"/>
      <c r="AM39" s="176"/>
      <c r="AN39" s="176"/>
      <c r="AO39" s="176"/>
      <c r="AP39" s="176"/>
      <c r="AQ39" s="176"/>
    </row>
    <row r="40" spans="1:43" s="168" customFormat="1">
      <c r="A40" s="178"/>
      <c r="B40" s="178"/>
      <c r="C40" s="178"/>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E40" s="169"/>
      <c r="AF40" s="179"/>
      <c r="AG40" s="179"/>
      <c r="AH40" s="176"/>
      <c r="AI40" s="176"/>
      <c r="AJ40" s="176"/>
      <c r="AK40" s="176"/>
      <c r="AL40" s="176"/>
      <c r="AM40" s="176"/>
      <c r="AN40" s="176"/>
      <c r="AO40" s="176"/>
      <c r="AP40" s="176"/>
      <c r="AQ40" s="176"/>
    </row>
    <row r="41" spans="1:43" s="168" customFormat="1">
      <c r="A41" s="178"/>
      <c r="B41" s="178"/>
      <c r="C41" s="178"/>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E41" s="169"/>
      <c r="AF41" s="179"/>
      <c r="AG41" s="179"/>
      <c r="AH41" s="176"/>
      <c r="AI41" s="176"/>
      <c r="AJ41" s="176"/>
      <c r="AK41" s="176"/>
      <c r="AL41" s="176"/>
      <c r="AM41" s="176"/>
      <c r="AN41" s="176"/>
      <c r="AO41" s="176"/>
      <c r="AP41" s="176"/>
      <c r="AQ41" s="176"/>
    </row>
    <row r="42" spans="1:43" s="168" customFormat="1">
      <c r="A42" s="178"/>
      <c r="B42" s="178"/>
      <c r="C42" s="178"/>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E42" s="169"/>
      <c r="AF42" s="179"/>
      <c r="AG42" s="179"/>
      <c r="AH42" s="176"/>
      <c r="AI42" s="176"/>
      <c r="AJ42" s="176"/>
      <c r="AK42" s="176"/>
      <c r="AL42" s="176"/>
      <c r="AM42" s="176"/>
      <c r="AN42" s="176"/>
      <c r="AO42" s="176"/>
      <c r="AP42" s="176"/>
      <c r="AQ42" s="176"/>
    </row>
    <row r="43" spans="1:43" s="168" customFormat="1">
      <c r="A43" s="178"/>
      <c r="B43" s="178"/>
      <c r="C43" s="178"/>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E43" s="169"/>
      <c r="AF43" s="179"/>
      <c r="AG43" s="179"/>
      <c r="AH43" s="176"/>
      <c r="AI43" s="176"/>
      <c r="AJ43" s="176"/>
      <c r="AK43" s="176"/>
      <c r="AL43" s="176"/>
      <c r="AM43" s="176"/>
      <c r="AN43" s="176"/>
      <c r="AO43" s="176"/>
      <c r="AP43" s="176"/>
      <c r="AQ43" s="176"/>
    </row>
    <row r="44" spans="1:43" s="168" customFormat="1">
      <c r="A44" s="178"/>
      <c r="B44" s="178"/>
      <c r="C44" s="178"/>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E44" s="169"/>
      <c r="AF44" s="179"/>
      <c r="AG44" s="179"/>
      <c r="AH44" s="176"/>
      <c r="AI44" s="176"/>
      <c r="AJ44" s="176"/>
      <c r="AK44" s="176"/>
      <c r="AL44" s="176"/>
      <c r="AM44" s="176"/>
      <c r="AN44" s="176"/>
      <c r="AO44" s="176"/>
      <c r="AP44" s="176"/>
      <c r="AQ44" s="176"/>
    </row>
    <row r="45" spans="1:43" s="168" customFormat="1">
      <c r="A45" s="178"/>
      <c r="B45" s="178"/>
      <c r="C45" s="178"/>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E45" s="169"/>
      <c r="AF45" s="179"/>
      <c r="AG45" s="179"/>
      <c r="AH45" s="176"/>
      <c r="AI45" s="176"/>
      <c r="AJ45" s="176"/>
      <c r="AK45" s="176"/>
      <c r="AL45" s="176"/>
      <c r="AM45" s="176"/>
      <c r="AN45" s="176"/>
      <c r="AO45" s="176"/>
      <c r="AP45" s="176"/>
      <c r="AQ45" s="176"/>
    </row>
    <row r="46" spans="1:43" s="168" customFormat="1">
      <c r="A46" s="178"/>
      <c r="B46" s="178"/>
      <c r="C46" s="178"/>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E46" s="169"/>
      <c r="AF46" s="179"/>
      <c r="AG46" s="179"/>
      <c r="AH46" s="176"/>
      <c r="AI46" s="176"/>
      <c r="AJ46" s="176"/>
      <c r="AK46" s="176"/>
      <c r="AL46" s="176"/>
      <c r="AM46" s="176"/>
      <c r="AN46" s="176"/>
      <c r="AO46" s="176"/>
      <c r="AP46" s="176"/>
      <c r="AQ46" s="176"/>
    </row>
    <row r="47" spans="1:43" s="168" customFormat="1">
      <c r="A47" s="178"/>
      <c r="B47" s="178"/>
      <c r="C47" s="178"/>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E47" s="169"/>
      <c r="AF47" s="179"/>
      <c r="AG47" s="179"/>
      <c r="AH47" s="176"/>
      <c r="AI47" s="176"/>
      <c r="AJ47" s="176"/>
      <c r="AK47" s="176"/>
      <c r="AL47" s="176"/>
      <c r="AM47" s="176"/>
      <c r="AN47" s="176"/>
      <c r="AO47" s="176"/>
      <c r="AP47" s="176"/>
      <c r="AQ47" s="176"/>
    </row>
    <row r="48" spans="1:43" s="168" customFormat="1">
      <c r="A48" s="178"/>
      <c r="B48" s="178"/>
      <c r="C48" s="178"/>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E48" s="169"/>
      <c r="AF48" s="179"/>
      <c r="AG48" s="179"/>
      <c r="AH48" s="176"/>
      <c r="AI48" s="176"/>
      <c r="AJ48" s="176"/>
      <c r="AK48" s="176"/>
      <c r="AL48" s="176"/>
      <c r="AM48" s="176"/>
      <c r="AN48" s="176"/>
      <c r="AO48" s="176"/>
      <c r="AP48" s="176"/>
      <c r="AQ48" s="176"/>
    </row>
    <row r="49" spans="1:43" s="168" customFormat="1">
      <c r="A49" s="178"/>
      <c r="B49" s="178"/>
      <c r="C49" s="178"/>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E49" s="169"/>
      <c r="AF49" s="179"/>
      <c r="AG49" s="179"/>
      <c r="AH49" s="176"/>
      <c r="AI49" s="176"/>
      <c r="AJ49" s="176"/>
      <c r="AK49" s="176"/>
      <c r="AL49" s="176"/>
      <c r="AM49" s="176"/>
      <c r="AN49" s="176"/>
      <c r="AO49" s="176"/>
      <c r="AP49" s="176"/>
      <c r="AQ49" s="176"/>
    </row>
    <row r="50" spans="1:43" s="168" customFormat="1">
      <c r="A50" s="178"/>
      <c r="B50" s="178"/>
      <c r="C50" s="178"/>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E50" s="169"/>
      <c r="AF50" s="179"/>
      <c r="AG50" s="179"/>
      <c r="AH50" s="176"/>
      <c r="AI50" s="176"/>
      <c r="AJ50" s="176"/>
      <c r="AK50" s="176"/>
      <c r="AL50" s="176"/>
      <c r="AM50" s="176"/>
      <c r="AN50" s="176"/>
      <c r="AO50" s="176"/>
      <c r="AP50" s="176"/>
      <c r="AQ50" s="176"/>
    </row>
    <row r="51" spans="1:43" s="168" customFormat="1">
      <c r="A51" s="178"/>
      <c r="B51" s="178"/>
      <c r="C51" s="178"/>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E51" s="169"/>
      <c r="AF51" s="179"/>
      <c r="AG51" s="179"/>
      <c r="AH51" s="176"/>
      <c r="AI51" s="176"/>
      <c r="AJ51" s="176"/>
      <c r="AK51" s="176"/>
      <c r="AL51" s="176"/>
      <c r="AM51" s="176"/>
      <c r="AN51" s="176"/>
      <c r="AO51" s="176"/>
      <c r="AP51" s="176"/>
      <c r="AQ51" s="176"/>
    </row>
    <row r="52" spans="1:43" s="168" customFormat="1">
      <c r="A52" s="178"/>
      <c r="B52" s="178"/>
      <c r="C52" s="178"/>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E52" s="169"/>
      <c r="AF52" s="179"/>
      <c r="AG52" s="179"/>
      <c r="AH52" s="176"/>
      <c r="AI52" s="176"/>
      <c r="AJ52" s="176"/>
      <c r="AK52" s="176"/>
      <c r="AL52" s="176"/>
      <c r="AM52" s="176"/>
      <c r="AN52" s="176"/>
      <c r="AO52" s="176"/>
      <c r="AP52" s="176"/>
      <c r="AQ52" s="176"/>
    </row>
    <row r="53" spans="1:43" s="168" customFormat="1">
      <c r="A53" s="178"/>
      <c r="B53" s="178"/>
      <c r="C53" s="178"/>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E53" s="169"/>
      <c r="AF53" s="179"/>
      <c r="AG53" s="179"/>
      <c r="AH53" s="176"/>
      <c r="AI53" s="176"/>
      <c r="AJ53" s="176"/>
      <c r="AK53" s="176"/>
      <c r="AL53" s="176"/>
      <c r="AM53" s="176"/>
      <c r="AN53" s="176"/>
      <c r="AO53" s="176"/>
      <c r="AP53" s="176"/>
      <c r="AQ53" s="176"/>
    </row>
    <row r="54" spans="1:43" s="168" customFormat="1">
      <c r="A54" s="178"/>
      <c r="B54" s="178"/>
      <c r="C54" s="178"/>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E54" s="169"/>
      <c r="AF54" s="179"/>
      <c r="AG54" s="179"/>
      <c r="AH54" s="176"/>
      <c r="AI54" s="176"/>
      <c r="AJ54" s="176"/>
      <c r="AK54" s="176"/>
      <c r="AL54" s="176"/>
      <c r="AM54" s="176"/>
      <c r="AN54" s="176"/>
      <c r="AO54" s="176"/>
      <c r="AP54" s="176"/>
      <c r="AQ54" s="176"/>
    </row>
    <row r="55" spans="1:43" s="168" customFormat="1">
      <c r="A55" s="178"/>
      <c r="B55" s="178"/>
      <c r="C55" s="178"/>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E55" s="169"/>
      <c r="AF55" s="179"/>
      <c r="AG55" s="179"/>
      <c r="AH55" s="176"/>
      <c r="AI55" s="176"/>
      <c r="AJ55" s="176"/>
      <c r="AK55" s="176"/>
      <c r="AL55" s="176"/>
      <c r="AM55" s="176"/>
      <c r="AN55" s="176"/>
      <c r="AO55" s="176"/>
      <c r="AP55" s="176"/>
      <c r="AQ55" s="176"/>
    </row>
    <row r="56" spans="1:43" s="168" customFormat="1">
      <c r="A56" s="178"/>
      <c r="B56" s="178"/>
      <c r="C56" s="178"/>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E56" s="169"/>
      <c r="AF56" s="179"/>
      <c r="AG56" s="179"/>
      <c r="AH56" s="176"/>
      <c r="AI56" s="176"/>
      <c r="AJ56" s="176"/>
      <c r="AK56" s="176"/>
      <c r="AL56" s="176"/>
      <c r="AM56" s="176"/>
      <c r="AN56" s="176"/>
      <c r="AO56" s="176"/>
      <c r="AP56" s="176"/>
      <c r="AQ56" s="176"/>
    </row>
    <row r="57" spans="1:43" s="168" customFormat="1">
      <c r="A57" s="178"/>
      <c r="B57" s="178"/>
      <c r="C57" s="178"/>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E57" s="169"/>
      <c r="AF57" s="179"/>
      <c r="AG57" s="179"/>
      <c r="AH57" s="176"/>
      <c r="AI57" s="176"/>
      <c r="AJ57" s="176"/>
      <c r="AK57" s="176"/>
      <c r="AL57" s="176"/>
      <c r="AM57" s="176"/>
      <c r="AN57" s="176"/>
      <c r="AO57" s="176"/>
      <c r="AP57" s="176"/>
      <c r="AQ57" s="176"/>
    </row>
    <row r="58" spans="1:43" s="168" customFormat="1">
      <c r="A58" s="178"/>
      <c r="B58" s="178"/>
      <c r="C58" s="178"/>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E58" s="169"/>
      <c r="AF58" s="179"/>
      <c r="AG58" s="179"/>
      <c r="AH58" s="176"/>
      <c r="AI58" s="176"/>
      <c r="AJ58" s="176"/>
      <c r="AK58" s="176"/>
      <c r="AL58" s="176"/>
      <c r="AM58" s="176"/>
      <c r="AN58" s="176"/>
      <c r="AO58" s="176"/>
      <c r="AP58" s="176"/>
      <c r="AQ58" s="176"/>
    </row>
    <row r="59" spans="1:43" s="168" customFormat="1">
      <c r="A59" s="178"/>
      <c r="B59" s="178"/>
      <c r="C59" s="178"/>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E59" s="169"/>
      <c r="AF59" s="179"/>
      <c r="AG59" s="179"/>
      <c r="AH59" s="176"/>
      <c r="AI59" s="176"/>
      <c r="AJ59" s="176"/>
      <c r="AK59" s="176"/>
      <c r="AL59" s="176"/>
      <c r="AM59" s="176"/>
      <c r="AN59" s="176"/>
      <c r="AO59" s="176"/>
      <c r="AP59" s="176"/>
      <c r="AQ59" s="176"/>
    </row>
    <row r="60" spans="1:43" s="168" customFormat="1">
      <c r="A60" s="178"/>
      <c r="B60" s="178"/>
      <c r="C60" s="178"/>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E60" s="169"/>
      <c r="AF60" s="179"/>
      <c r="AG60" s="179"/>
      <c r="AH60" s="176"/>
      <c r="AI60" s="176"/>
      <c r="AJ60" s="176"/>
      <c r="AK60" s="176"/>
      <c r="AL60" s="176"/>
      <c r="AM60" s="176"/>
      <c r="AN60" s="176"/>
      <c r="AO60" s="176"/>
      <c r="AP60" s="176"/>
      <c r="AQ60" s="176"/>
    </row>
    <row r="61" spans="1:43" s="168" customFormat="1">
      <c r="A61" s="178"/>
      <c r="B61" s="178"/>
      <c r="C61" s="178"/>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E61" s="169"/>
      <c r="AF61" s="179"/>
      <c r="AG61" s="179"/>
      <c r="AH61" s="176"/>
      <c r="AI61" s="176"/>
      <c r="AJ61" s="176"/>
      <c r="AK61" s="176"/>
      <c r="AL61" s="176"/>
      <c r="AM61" s="176"/>
      <c r="AN61" s="176"/>
      <c r="AO61" s="176"/>
      <c r="AP61" s="176"/>
      <c r="AQ61" s="176"/>
    </row>
    <row r="62" spans="1:43" s="168" customFormat="1">
      <c r="A62" s="178"/>
      <c r="B62" s="178"/>
      <c r="C62" s="178"/>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E62" s="169"/>
      <c r="AF62" s="179"/>
      <c r="AG62" s="179"/>
      <c r="AH62" s="176"/>
      <c r="AI62" s="176"/>
      <c r="AJ62" s="176"/>
      <c r="AK62" s="176"/>
      <c r="AL62" s="176"/>
      <c r="AM62" s="176"/>
      <c r="AN62" s="176"/>
      <c r="AO62" s="176"/>
      <c r="AP62" s="176"/>
      <c r="AQ62" s="176"/>
    </row>
    <row r="63" spans="1:43" s="168" customFormat="1">
      <c r="A63" s="178"/>
      <c r="B63" s="178"/>
      <c r="C63" s="178"/>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E63" s="169"/>
      <c r="AF63" s="179"/>
      <c r="AG63" s="179"/>
      <c r="AH63" s="176"/>
      <c r="AI63" s="176"/>
      <c r="AJ63" s="176"/>
      <c r="AK63" s="176"/>
      <c r="AL63" s="176"/>
      <c r="AM63" s="176"/>
      <c r="AN63" s="176"/>
      <c r="AO63" s="176"/>
      <c r="AP63" s="176"/>
      <c r="AQ63" s="176"/>
    </row>
    <row r="64" spans="1:43" s="168" customFormat="1">
      <c r="A64" s="178"/>
      <c r="B64" s="178"/>
      <c r="C64" s="178"/>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E64" s="169"/>
      <c r="AF64" s="179"/>
      <c r="AG64" s="179"/>
      <c r="AH64" s="176"/>
      <c r="AI64" s="176"/>
      <c r="AJ64" s="176"/>
      <c r="AK64" s="176"/>
      <c r="AL64" s="176"/>
      <c r="AM64" s="176"/>
      <c r="AN64" s="176"/>
      <c r="AO64" s="176"/>
      <c r="AP64" s="176"/>
      <c r="AQ64" s="176"/>
    </row>
    <row r="65" spans="1:43" s="168" customFormat="1">
      <c r="A65" s="178"/>
      <c r="B65" s="178"/>
      <c r="C65" s="178"/>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E65" s="169"/>
      <c r="AF65" s="179"/>
      <c r="AG65" s="179"/>
      <c r="AH65" s="176"/>
      <c r="AI65" s="176"/>
      <c r="AJ65" s="176"/>
      <c r="AK65" s="176"/>
      <c r="AL65" s="176"/>
      <c r="AM65" s="176"/>
      <c r="AN65" s="176"/>
      <c r="AO65" s="176"/>
      <c r="AP65" s="176"/>
      <c r="AQ65" s="176"/>
    </row>
    <row r="66" spans="1:43" s="168" customFormat="1">
      <c r="A66" s="178"/>
      <c r="B66" s="178"/>
      <c r="C66" s="178"/>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E66" s="169"/>
      <c r="AF66" s="179"/>
      <c r="AG66" s="179"/>
      <c r="AH66" s="176"/>
      <c r="AI66" s="176"/>
      <c r="AJ66" s="176"/>
      <c r="AK66" s="176"/>
      <c r="AL66" s="176"/>
      <c r="AM66" s="176"/>
      <c r="AN66" s="176"/>
      <c r="AO66" s="176"/>
      <c r="AP66" s="176"/>
      <c r="AQ66" s="176"/>
    </row>
    <row r="67" spans="1:43" s="168" customFormat="1">
      <c r="A67" s="178"/>
      <c r="B67" s="178"/>
      <c r="C67" s="178"/>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E67" s="169"/>
      <c r="AF67" s="179"/>
      <c r="AG67" s="179"/>
      <c r="AH67" s="176"/>
      <c r="AI67" s="176"/>
      <c r="AJ67" s="176"/>
      <c r="AK67" s="176"/>
      <c r="AL67" s="176"/>
      <c r="AM67" s="176"/>
      <c r="AN67" s="176"/>
      <c r="AO67" s="176"/>
      <c r="AP67" s="176"/>
      <c r="AQ67" s="176"/>
    </row>
    <row r="68" spans="1:43" s="168" customFormat="1">
      <c r="A68" s="178"/>
      <c r="B68" s="178"/>
      <c r="C68" s="178"/>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E68" s="169"/>
      <c r="AF68" s="179"/>
      <c r="AG68" s="179"/>
      <c r="AH68" s="176"/>
      <c r="AI68" s="176"/>
      <c r="AJ68" s="176"/>
      <c r="AK68" s="176"/>
      <c r="AL68" s="176"/>
      <c r="AM68" s="176"/>
      <c r="AN68" s="176"/>
      <c r="AO68" s="176"/>
      <c r="AP68" s="176"/>
      <c r="AQ68" s="176"/>
    </row>
    <row r="69" spans="1:43" s="168" customFormat="1">
      <c r="A69" s="178"/>
      <c r="B69" s="178"/>
      <c r="C69" s="178"/>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E69" s="169"/>
      <c r="AF69" s="179"/>
      <c r="AG69" s="179"/>
      <c r="AH69" s="176"/>
      <c r="AI69" s="176"/>
      <c r="AJ69" s="176"/>
      <c r="AK69" s="176"/>
      <c r="AL69" s="176"/>
      <c r="AM69" s="176"/>
      <c r="AN69" s="176"/>
      <c r="AO69" s="176"/>
      <c r="AP69" s="176"/>
      <c r="AQ69" s="176"/>
    </row>
    <row r="70" spans="1:43" s="168" customFormat="1">
      <c r="A70" s="178"/>
      <c r="B70" s="178"/>
      <c r="C70" s="178"/>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E70" s="169"/>
      <c r="AF70" s="179"/>
      <c r="AG70" s="179"/>
      <c r="AH70" s="176"/>
      <c r="AI70" s="176"/>
      <c r="AJ70" s="176"/>
      <c r="AK70" s="176"/>
      <c r="AL70" s="176"/>
      <c r="AM70" s="176"/>
      <c r="AN70" s="176"/>
      <c r="AO70" s="176"/>
      <c r="AP70" s="176"/>
      <c r="AQ70" s="176"/>
    </row>
    <row r="71" spans="1:43" s="168" customFormat="1">
      <c r="A71" s="178"/>
      <c r="B71" s="178"/>
      <c r="C71" s="178"/>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E71" s="169"/>
      <c r="AF71" s="179"/>
      <c r="AG71" s="179"/>
      <c r="AH71" s="176"/>
      <c r="AI71" s="176"/>
      <c r="AJ71" s="176"/>
      <c r="AK71" s="176"/>
      <c r="AL71" s="176"/>
      <c r="AM71" s="176"/>
      <c r="AN71" s="176"/>
      <c r="AO71" s="176"/>
      <c r="AP71" s="176"/>
      <c r="AQ71" s="176"/>
    </row>
    <row r="72" spans="1:43" s="168" customFormat="1">
      <c r="A72" s="178"/>
      <c r="B72" s="178"/>
      <c r="C72" s="178"/>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E72" s="169"/>
      <c r="AF72" s="179"/>
      <c r="AG72" s="179"/>
      <c r="AH72" s="176"/>
      <c r="AI72" s="176"/>
      <c r="AJ72" s="176"/>
      <c r="AK72" s="176"/>
      <c r="AL72" s="176"/>
      <c r="AM72" s="176"/>
      <c r="AN72" s="176"/>
      <c r="AO72" s="176"/>
      <c r="AP72" s="176"/>
      <c r="AQ72" s="176"/>
    </row>
    <row r="73" spans="1:43" s="168" customFormat="1">
      <c r="A73" s="178"/>
      <c r="B73" s="178"/>
      <c r="C73" s="178"/>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E73" s="169"/>
      <c r="AF73" s="179"/>
      <c r="AG73" s="179"/>
      <c r="AH73" s="176"/>
      <c r="AI73" s="176"/>
      <c r="AJ73" s="176"/>
      <c r="AK73" s="176"/>
      <c r="AL73" s="176"/>
      <c r="AM73" s="176"/>
      <c r="AN73" s="176"/>
      <c r="AO73" s="176"/>
      <c r="AP73" s="176"/>
      <c r="AQ73" s="176"/>
    </row>
    <row r="74" spans="1:43" s="168" customFormat="1">
      <c r="A74" s="178"/>
      <c r="B74" s="178"/>
      <c r="C74" s="178"/>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E74" s="169"/>
      <c r="AF74" s="179"/>
      <c r="AG74" s="179"/>
      <c r="AH74" s="176"/>
      <c r="AI74" s="176"/>
      <c r="AJ74" s="176"/>
      <c r="AK74" s="176"/>
      <c r="AL74" s="176"/>
      <c r="AM74" s="176"/>
      <c r="AN74" s="176"/>
      <c r="AO74" s="176"/>
      <c r="AP74" s="176"/>
      <c r="AQ74" s="176"/>
    </row>
    <row r="75" spans="1:43" s="168" customFormat="1">
      <c r="A75" s="178"/>
      <c r="B75" s="178"/>
      <c r="C75" s="178"/>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E75" s="169"/>
      <c r="AF75" s="179"/>
      <c r="AG75" s="179"/>
      <c r="AH75" s="176"/>
      <c r="AI75" s="176"/>
      <c r="AJ75" s="176"/>
      <c r="AK75" s="176"/>
      <c r="AL75" s="176"/>
      <c r="AM75" s="176"/>
      <c r="AN75" s="176"/>
      <c r="AO75" s="176"/>
      <c r="AP75" s="176"/>
      <c r="AQ75" s="176"/>
    </row>
    <row r="76" spans="1:43" s="168" customFormat="1">
      <c r="A76" s="178"/>
      <c r="B76" s="178"/>
      <c r="C76" s="178"/>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E76" s="169"/>
      <c r="AF76" s="179"/>
      <c r="AG76" s="179"/>
      <c r="AH76" s="176"/>
      <c r="AI76" s="176"/>
      <c r="AJ76" s="176"/>
      <c r="AK76" s="176"/>
      <c r="AL76" s="176"/>
      <c r="AM76" s="176"/>
      <c r="AN76" s="176"/>
      <c r="AO76" s="176"/>
      <c r="AP76" s="176"/>
      <c r="AQ76" s="176"/>
    </row>
    <row r="77" spans="1:43" s="168" customFormat="1">
      <c r="A77" s="178"/>
      <c r="B77" s="178"/>
      <c r="C77" s="178"/>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E77" s="169"/>
      <c r="AF77" s="179"/>
      <c r="AG77" s="179"/>
      <c r="AH77" s="176"/>
      <c r="AI77" s="176"/>
      <c r="AJ77" s="176"/>
      <c r="AK77" s="176"/>
      <c r="AL77" s="176"/>
      <c r="AM77" s="176"/>
      <c r="AN77" s="176"/>
      <c r="AO77" s="176"/>
      <c r="AP77" s="176"/>
      <c r="AQ77" s="176"/>
    </row>
    <row r="78" spans="1:43" s="168" customFormat="1">
      <c r="A78" s="178"/>
      <c r="B78" s="178"/>
      <c r="C78" s="178"/>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E78" s="169"/>
      <c r="AF78" s="179"/>
      <c r="AG78" s="179"/>
      <c r="AH78" s="176"/>
      <c r="AI78" s="176"/>
      <c r="AJ78" s="176"/>
      <c r="AK78" s="176"/>
      <c r="AL78" s="176"/>
      <c r="AM78" s="176"/>
      <c r="AN78" s="176"/>
      <c r="AO78" s="176"/>
      <c r="AP78" s="176"/>
      <c r="AQ78" s="176"/>
    </row>
    <row r="79" spans="1:43" s="168" customFormat="1">
      <c r="A79" s="178"/>
      <c r="B79" s="178"/>
      <c r="C79" s="178"/>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E79" s="169"/>
      <c r="AF79" s="179"/>
      <c r="AG79" s="179"/>
      <c r="AH79" s="176"/>
      <c r="AI79" s="176"/>
      <c r="AJ79" s="176"/>
      <c r="AK79" s="176"/>
      <c r="AL79" s="176"/>
      <c r="AM79" s="176"/>
      <c r="AN79" s="176"/>
      <c r="AO79" s="176"/>
      <c r="AP79" s="176"/>
      <c r="AQ79" s="176"/>
    </row>
    <row r="80" spans="1:43" s="168" customFormat="1">
      <c r="A80" s="178"/>
      <c r="B80" s="178"/>
      <c r="C80" s="178"/>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E80" s="169"/>
      <c r="AF80" s="179"/>
      <c r="AG80" s="179"/>
      <c r="AH80" s="176"/>
      <c r="AI80" s="176"/>
      <c r="AJ80" s="176"/>
      <c r="AK80" s="176"/>
      <c r="AL80" s="176"/>
      <c r="AM80" s="176"/>
      <c r="AN80" s="176"/>
      <c r="AO80" s="176"/>
      <c r="AP80" s="176"/>
      <c r="AQ80" s="176"/>
    </row>
    <row r="81" spans="1:43" s="168" customFormat="1">
      <c r="A81" s="178"/>
      <c r="B81" s="178"/>
      <c r="C81" s="178"/>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E81" s="169"/>
      <c r="AF81" s="179"/>
      <c r="AG81" s="179"/>
      <c r="AH81" s="176"/>
      <c r="AI81" s="176"/>
      <c r="AJ81" s="176"/>
      <c r="AK81" s="176"/>
      <c r="AL81" s="176"/>
      <c r="AM81" s="176"/>
      <c r="AN81" s="176"/>
      <c r="AO81" s="176"/>
      <c r="AP81" s="176"/>
      <c r="AQ81" s="176"/>
    </row>
    <row r="82" spans="1:43" s="168" customFormat="1">
      <c r="A82" s="178"/>
      <c r="B82" s="178"/>
      <c r="C82" s="178"/>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E82" s="169"/>
      <c r="AF82" s="179"/>
      <c r="AG82" s="179"/>
      <c r="AH82" s="176"/>
      <c r="AI82" s="176"/>
      <c r="AJ82" s="176"/>
      <c r="AK82" s="176"/>
      <c r="AL82" s="176"/>
      <c r="AM82" s="176"/>
      <c r="AN82" s="176"/>
      <c r="AO82" s="176"/>
      <c r="AP82" s="176"/>
      <c r="AQ82" s="176"/>
    </row>
    <row r="83" spans="1:43" s="168" customFormat="1">
      <c r="A83" s="178"/>
      <c r="B83" s="178"/>
      <c r="C83" s="178"/>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E83" s="169"/>
      <c r="AF83" s="179"/>
      <c r="AG83" s="179"/>
      <c r="AH83" s="176"/>
      <c r="AI83" s="176"/>
      <c r="AJ83" s="176"/>
      <c r="AK83" s="176"/>
      <c r="AL83" s="176"/>
      <c r="AM83" s="176"/>
      <c r="AN83" s="176"/>
      <c r="AO83" s="176"/>
      <c r="AP83" s="176"/>
      <c r="AQ83" s="176"/>
    </row>
    <row r="84" spans="1:43" s="168" customFormat="1">
      <c r="A84" s="178"/>
      <c r="B84" s="178"/>
      <c r="C84" s="178"/>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E84" s="169"/>
      <c r="AF84" s="179"/>
      <c r="AG84" s="179"/>
      <c r="AH84" s="176"/>
      <c r="AI84" s="176"/>
      <c r="AJ84" s="176"/>
      <c r="AK84" s="176"/>
      <c r="AL84" s="176"/>
      <c r="AM84" s="176"/>
      <c r="AN84" s="176"/>
      <c r="AO84" s="176"/>
      <c r="AP84" s="176"/>
      <c r="AQ84" s="176"/>
    </row>
    <row r="85" spans="1:43" s="168" customFormat="1">
      <c r="A85" s="178"/>
      <c r="B85" s="178"/>
      <c r="C85" s="178"/>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E85" s="169"/>
      <c r="AF85" s="179"/>
      <c r="AG85" s="179"/>
      <c r="AH85" s="176"/>
      <c r="AI85" s="176"/>
      <c r="AJ85" s="176"/>
      <c r="AK85" s="176"/>
      <c r="AL85" s="176"/>
      <c r="AM85" s="176"/>
      <c r="AN85" s="176"/>
      <c r="AO85" s="176"/>
      <c r="AP85" s="176"/>
      <c r="AQ85" s="176"/>
    </row>
    <row r="86" spans="1:43" s="168" customFormat="1">
      <c r="A86" s="178"/>
      <c r="B86" s="178"/>
      <c r="C86" s="178"/>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E86" s="169"/>
      <c r="AF86" s="179"/>
      <c r="AG86" s="179"/>
      <c r="AH86" s="176"/>
      <c r="AI86" s="176"/>
      <c r="AJ86" s="176"/>
      <c r="AK86" s="176"/>
      <c r="AL86" s="176"/>
      <c r="AM86" s="176"/>
      <c r="AN86" s="176"/>
      <c r="AO86" s="176"/>
      <c r="AP86" s="176"/>
      <c r="AQ86" s="176"/>
    </row>
    <row r="87" spans="1:43" s="168" customFormat="1">
      <c r="A87" s="178"/>
      <c r="B87" s="178"/>
      <c r="C87" s="178"/>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E87" s="169"/>
      <c r="AF87" s="179"/>
      <c r="AG87" s="179"/>
      <c r="AH87" s="176"/>
      <c r="AI87" s="176"/>
      <c r="AJ87" s="176"/>
      <c r="AK87" s="176"/>
      <c r="AL87" s="176"/>
      <c r="AM87" s="176"/>
      <c r="AN87" s="176"/>
      <c r="AO87" s="176"/>
      <c r="AP87" s="176"/>
      <c r="AQ87" s="176"/>
    </row>
    <row r="88" spans="1:43" s="168" customFormat="1">
      <c r="A88" s="178"/>
      <c r="B88" s="178"/>
      <c r="C88" s="178"/>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E88" s="169"/>
      <c r="AF88" s="179"/>
      <c r="AG88" s="179"/>
      <c r="AH88" s="176"/>
      <c r="AI88" s="176"/>
      <c r="AJ88" s="176"/>
      <c r="AK88" s="176"/>
      <c r="AL88" s="176"/>
      <c r="AM88" s="176"/>
      <c r="AN88" s="176"/>
      <c r="AO88" s="176"/>
      <c r="AP88" s="176"/>
      <c r="AQ88" s="176"/>
    </row>
    <row r="89" spans="1:43" s="168" customFormat="1">
      <c r="A89" s="178"/>
      <c r="B89" s="178"/>
      <c r="C89" s="178"/>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E89" s="169"/>
      <c r="AF89" s="179"/>
      <c r="AG89" s="179"/>
      <c r="AH89" s="176"/>
      <c r="AI89" s="176"/>
      <c r="AJ89" s="176"/>
      <c r="AK89" s="176"/>
      <c r="AL89" s="176"/>
      <c r="AM89" s="176"/>
      <c r="AN89" s="176"/>
      <c r="AO89" s="176"/>
      <c r="AP89" s="176"/>
      <c r="AQ89" s="176"/>
    </row>
    <row r="90" spans="1:43" s="168" customFormat="1">
      <c r="A90" s="178"/>
      <c r="B90" s="178"/>
      <c r="C90" s="178"/>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E90" s="169"/>
      <c r="AF90" s="179"/>
      <c r="AG90" s="179"/>
      <c r="AH90" s="176"/>
      <c r="AI90" s="176"/>
      <c r="AJ90" s="176"/>
      <c r="AK90" s="176"/>
      <c r="AL90" s="176"/>
      <c r="AM90" s="176"/>
      <c r="AN90" s="176"/>
      <c r="AO90" s="176"/>
      <c r="AP90" s="176"/>
      <c r="AQ90" s="176"/>
    </row>
    <row r="91" spans="1:43" s="168" customFormat="1">
      <c r="A91" s="178"/>
      <c r="B91" s="178"/>
      <c r="C91" s="178"/>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E91" s="169"/>
      <c r="AF91" s="179"/>
      <c r="AG91" s="179"/>
      <c r="AH91" s="176"/>
      <c r="AI91" s="176"/>
      <c r="AJ91" s="176"/>
      <c r="AK91" s="176"/>
      <c r="AL91" s="176"/>
      <c r="AM91" s="176"/>
      <c r="AN91" s="176"/>
      <c r="AO91" s="176"/>
      <c r="AP91" s="176"/>
      <c r="AQ91" s="176"/>
    </row>
    <row r="92" spans="1:43" s="168" customFormat="1">
      <c r="A92" s="178"/>
      <c r="B92" s="178"/>
      <c r="C92" s="178"/>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E92" s="169"/>
      <c r="AF92" s="179"/>
      <c r="AG92" s="179"/>
      <c r="AH92" s="176"/>
      <c r="AI92" s="176"/>
      <c r="AJ92" s="176"/>
      <c r="AK92" s="176"/>
      <c r="AL92" s="176"/>
      <c r="AM92" s="176"/>
      <c r="AN92" s="176"/>
      <c r="AO92" s="176"/>
      <c r="AP92" s="176"/>
      <c r="AQ92" s="176"/>
    </row>
    <row r="93" spans="1:43" s="168" customFormat="1">
      <c r="A93" s="178"/>
      <c r="B93" s="178"/>
      <c r="C93" s="178"/>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E93" s="169"/>
      <c r="AF93" s="179"/>
      <c r="AG93" s="179"/>
      <c r="AH93" s="176"/>
      <c r="AI93" s="176"/>
      <c r="AJ93" s="176"/>
      <c r="AK93" s="176"/>
      <c r="AL93" s="176"/>
      <c r="AM93" s="176"/>
      <c r="AN93" s="176"/>
      <c r="AO93" s="176"/>
      <c r="AP93" s="176"/>
      <c r="AQ93" s="176"/>
    </row>
    <row r="94" spans="1:43" s="168" customFormat="1">
      <c r="A94" s="178"/>
      <c r="B94" s="178"/>
      <c r="C94" s="178"/>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E94" s="169"/>
      <c r="AF94" s="179"/>
      <c r="AG94" s="179"/>
      <c r="AH94" s="176"/>
      <c r="AI94" s="176"/>
      <c r="AJ94" s="176"/>
      <c r="AK94" s="176"/>
      <c r="AL94" s="176"/>
      <c r="AM94" s="176"/>
      <c r="AN94" s="176"/>
      <c r="AO94" s="176"/>
      <c r="AP94" s="176"/>
      <c r="AQ94" s="176"/>
    </row>
    <row r="95" spans="1:43" s="168" customFormat="1">
      <c r="A95" s="178"/>
      <c r="B95" s="178"/>
      <c r="C95" s="178"/>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E95" s="169"/>
      <c r="AF95" s="179"/>
      <c r="AG95" s="179"/>
      <c r="AH95" s="176"/>
      <c r="AI95" s="176"/>
      <c r="AJ95" s="176"/>
      <c r="AK95" s="176"/>
      <c r="AL95" s="176"/>
      <c r="AM95" s="176"/>
      <c r="AN95" s="176"/>
      <c r="AO95" s="176"/>
      <c r="AP95" s="176"/>
      <c r="AQ95" s="176"/>
    </row>
    <row r="96" spans="1:43" s="168" customFormat="1">
      <c r="A96" s="178"/>
      <c r="B96" s="178"/>
      <c r="C96" s="178"/>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E96" s="169"/>
      <c r="AF96" s="179"/>
      <c r="AG96" s="179"/>
      <c r="AH96" s="176"/>
      <c r="AI96" s="176"/>
      <c r="AJ96" s="176"/>
      <c r="AK96" s="176"/>
      <c r="AL96" s="176"/>
      <c r="AM96" s="176"/>
      <c r="AN96" s="176"/>
      <c r="AO96" s="176"/>
      <c r="AP96" s="176"/>
      <c r="AQ96" s="176"/>
    </row>
    <row r="97" spans="1:43" s="168" customFormat="1">
      <c r="A97" s="178"/>
      <c r="B97" s="178"/>
      <c r="C97" s="178"/>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E97" s="169"/>
      <c r="AF97" s="179"/>
      <c r="AG97" s="179"/>
      <c r="AH97" s="176"/>
      <c r="AI97" s="176"/>
      <c r="AJ97" s="176"/>
      <c r="AK97" s="176"/>
      <c r="AL97" s="176"/>
      <c r="AM97" s="176"/>
      <c r="AN97" s="176"/>
      <c r="AO97" s="176"/>
      <c r="AP97" s="176"/>
      <c r="AQ97" s="176"/>
    </row>
    <row r="98" spans="1:43" s="168" customFormat="1">
      <c r="A98" s="178"/>
      <c r="B98" s="178"/>
      <c r="C98" s="178"/>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E98" s="169"/>
      <c r="AF98" s="179"/>
      <c r="AG98" s="179"/>
      <c r="AH98" s="176"/>
      <c r="AI98" s="176"/>
      <c r="AJ98" s="176"/>
      <c r="AK98" s="176"/>
      <c r="AL98" s="176"/>
      <c r="AM98" s="176"/>
      <c r="AN98" s="176"/>
      <c r="AO98" s="176"/>
      <c r="AP98" s="176"/>
      <c r="AQ98" s="176"/>
    </row>
    <row r="99" spans="1:43" s="168" customFormat="1">
      <c r="A99" s="178"/>
      <c r="B99" s="178"/>
      <c r="C99" s="178"/>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E99" s="169"/>
      <c r="AF99" s="179"/>
      <c r="AG99" s="179"/>
      <c r="AH99" s="176"/>
      <c r="AI99" s="176"/>
      <c r="AJ99" s="176"/>
      <c r="AK99" s="176"/>
      <c r="AL99" s="176"/>
      <c r="AM99" s="176"/>
      <c r="AN99" s="176"/>
      <c r="AO99" s="176"/>
      <c r="AP99" s="176"/>
      <c r="AQ99" s="176"/>
    </row>
    <row r="100" spans="1:43" s="168" customFormat="1">
      <c r="A100" s="178"/>
      <c r="B100" s="178"/>
      <c r="C100" s="178"/>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E100" s="169"/>
      <c r="AF100" s="179"/>
      <c r="AG100" s="179"/>
      <c r="AH100" s="176"/>
      <c r="AI100" s="176"/>
      <c r="AJ100" s="176"/>
      <c r="AK100" s="176"/>
      <c r="AL100" s="176"/>
      <c r="AM100" s="176"/>
      <c r="AN100" s="176"/>
      <c r="AO100" s="176"/>
      <c r="AP100" s="176"/>
      <c r="AQ100" s="176"/>
    </row>
    <row r="101" spans="1:43" s="168" customFormat="1">
      <c r="A101" s="178"/>
      <c r="B101" s="178"/>
      <c r="C101" s="178"/>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E101" s="169"/>
      <c r="AF101" s="179"/>
      <c r="AG101" s="179"/>
      <c r="AH101" s="176"/>
      <c r="AI101" s="176"/>
      <c r="AJ101" s="176"/>
      <c r="AK101" s="176"/>
      <c r="AL101" s="176"/>
      <c r="AM101" s="176"/>
      <c r="AN101" s="176"/>
      <c r="AO101" s="176"/>
      <c r="AP101" s="176"/>
      <c r="AQ101" s="176"/>
    </row>
    <row r="102" spans="1:43" s="168" customFormat="1">
      <c r="A102" s="178"/>
      <c r="B102" s="178"/>
      <c r="C102" s="178"/>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E102" s="169"/>
      <c r="AF102" s="179"/>
      <c r="AG102" s="179"/>
      <c r="AH102" s="176"/>
      <c r="AI102" s="176"/>
      <c r="AJ102" s="176"/>
      <c r="AK102" s="176"/>
      <c r="AL102" s="176"/>
      <c r="AM102" s="176"/>
      <c r="AN102" s="176"/>
      <c r="AO102" s="176"/>
      <c r="AP102" s="176"/>
      <c r="AQ102" s="176"/>
    </row>
    <row r="103" spans="1:43" s="168" customFormat="1">
      <c r="A103" s="178"/>
      <c r="B103" s="178"/>
      <c r="C103" s="178"/>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E103" s="169"/>
      <c r="AF103" s="179"/>
      <c r="AG103" s="179"/>
      <c r="AH103" s="176"/>
      <c r="AI103" s="176"/>
      <c r="AJ103" s="176"/>
      <c r="AK103" s="176"/>
      <c r="AL103" s="176"/>
      <c r="AM103" s="176"/>
      <c r="AN103" s="176"/>
      <c r="AO103" s="176"/>
      <c r="AP103" s="176"/>
      <c r="AQ103" s="176"/>
    </row>
    <row r="104" spans="1:43" s="168" customFormat="1">
      <c r="A104" s="178"/>
      <c r="B104" s="178"/>
      <c r="C104" s="178"/>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E104" s="169"/>
      <c r="AF104" s="179"/>
      <c r="AG104" s="179"/>
      <c r="AH104" s="176"/>
      <c r="AI104" s="176"/>
      <c r="AJ104" s="176"/>
      <c r="AK104" s="176"/>
      <c r="AL104" s="176"/>
      <c r="AM104" s="176"/>
      <c r="AN104" s="176"/>
      <c r="AO104" s="176"/>
      <c r="AP104" s="176"/>
      <c r="AQ104" s="176"/>
    </row>
    <row r="105" spans="1:43" s="168" customFormat="1">
      <c r="A105" s="178"/>
      <c r="B105" s="178"/>
      <c r="C105" s="178"/>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E105" s="169"/>
      <c r="AF105" s="179"/>
      <c r="AG105" s="179"/>
      <c r="AH105" s="176"/>
      <c r="AI105" s="176"/>
      <c r="AJ105" s="176"/>
      <c r="AK105" s="176"/>
      <c r="AL105" s="176"/>
      <c r="AM105" s="176"/>
      <c r="AN105" s="176"/>
      <c r="AO105" s="176"/>
      <c r="AP105" s="176"/>
      <c r="AQ105" s="176"/>
    </row>
    <row r="106" spans="1:43" s="168" customFormat="1">
      <c r="A106" s="178"/>
      <c r="B106" s="178"/>
      <c r="C106" s="178"/>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E106" s="169"/>
      <c r="AF106" s="179"/>
      <c r="AG106" s="179"/>
      <c r="AH106" s="176"/>
      <c r="AI106" s="176"/>
      <c r="AJ106" s="176"/>
      <c r="AK106" s="176"/>
      <c r="AL106" s="176"/>
      <c r="AM106" s="176"/>
      <c r="AN106" s="176"/>
      <c r="AO106" s="176"/>
      <c r="AP106" s="176"/>
      <c r="AQ106" s="176"/>
    </row>
    <row r="107" spans="1:43" s="168" customFormat="1">
      <c r="A107" s="178"/>
      <c r="B107" s="178"/>
      <c r="C107" s="178"/>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E107" s="169"/>
      <c r="AF107" s="179"/>
      <c r="AG107" s="179"/>
      <c r="AH107" s="176"/>
      <c r="AI107" s="176"/>
      <c r="AJ107" s="176"/>
      <c r="AK107" s="176"/>
      <c r="AL107" s="176"/>
      <c r="AM107" s="176"/>
      <c r="AN107" s="176"/>
      <c r="AO107" s="176"/>
      <c r="AP107" s="176"/>
      <c r="AQ107" s="176"/>
    </row>
    <row r="108" spans="1:43" s="168" customFormat="1">
      <c r="A108" s="178"/>
      <c r="B108" s="178"/>
      <c r="C108" s="178"/>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E108" s="169"/>
      <c r="AF108" s="179"/>
      <c r="AG108" s="179"/>
      <c r="AH108" s="176"/>
      <c r="AI108" s="176"/>
      <c r="AJ108" s="176"/>
      <c r="AK108" s="176"/>
      <c r="AL108" s="176"/>
      <c r="AM108" s="176"/>
      <c r="AN108" s="176"/>
      <c r="AO108" s="176"/>
      <c r="AP108" s="176"/>
      <c r="AQ108" s="176"/>
    </row>
    <row r="109" spans="1:43" s="168" customFormat="1">
      <c r="A109" s="178"/>
      <c r="B109" s="178"/>
      <c r="C109" s="178"/>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E109" s="169"/>
      <c r="AF109" s="179"/>
      <c r="AG109" s="179"/>
      <c r="AH109" s="176"/>
      <c r="AI109" s="176"/>
      <c r="AJ109" s="176"/>
      <c r="AK109" s="176"/>
      <c r="AL109" s="176"/>
      <c r="AM109" s="176"/>
      <c r="AN109" s="176"/>
      <c r="AO109" s="176"/>
      <c r="AP109" s="176"/>
      <c r="AQ109" s="176"/>
    </row>
    <row r="110" spans="1:43" s="168" customFormat="1">
      <c r="A110" s="178"/>
      <c r="B110" s="178"/>
      <c r="C110" s="178"/>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E110" s="169"/>
      <c r="AF110" s="179"/>
      <c r="AG110" s="179"/>
      <c r="AH110" s="176"/>
      <c r="AI110" s="176"/>
      <c r="AJ110" s="176"/>
      <c r="AK110" s="176"/>
      <c r="AL110" s="176"/>
      <c r="AM110" s="176"/>
      <c r="AN110" s="176"/>
      <c r="AO110" s="176"/>
      <c r="AP110" s="176"/>
      <c r="AQ110" s="176"/>
    </row>
    <row r="111" spans="1:43" s="168" customFormat="1">
      <c r="A111" s="178"/>
      <c r="B111" s="178"/>
      <c r="C111" s="178"/>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E111" s="169"/>
      <c r="AF111" s="179"/>
      <c r="AG111" s="179"/>
      <c r="AH111" s="176"/>
      <c r="AI111" s="176"/>
      <c r="AJ111" s="176"/>
      <c r="AK111" s="176"/>
      <c r="AL111" s="176"/>
      <c r="AM111" s="176"/>
      <c r="AN111" s="176"/>
      <c r="AO111" s="176"/>
      <c r="AP111" s="176"/>
      <c r="AQ111" s="176"/>
    </row>
    <row r="112" spans="1:43" s="168" customFormat="1">
      <c r="A112" s="178"/>
      <c r="B112" s="178"/>
      <c r="C112" s="178"/>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E112" s="169"/>
      <c r="AF112" s="179"/>
      <c r="AG112" s="179"/>
      <c r="AH112" s="176"/>
      <c r="AI112" s="176"/>
      <c r="AJ112" s="176"/>
      <c r="AK112" s="176"/>
      <c r="AL112" s="176"/>
      <c r="AM112" s="176"/>
      <c r="AN112" s="176"/>
      <c r="AO112" s="176"/>
      <c r="AP112" s="176"/>
      <c r="AQ112" s="176"/>
    </row>
    <row r="113" spans="1:43" s="168" customFormat="1">
      <c r="A113" s="178"/>
      <c r="B113" s="178"/>
      <c r="C113" s="178"/>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E113" s="169"/>
      <c r="AF113" s="179"/>
      <c r="AG113" s="179"/>
      <c r="AH113" s="176"/>
      <c r="AI113" s="176"/>
      <c r="AJ113" s="176"/>
      <c r="AK113" s="176"/>
      <c r="AL113" s="176"/>
      <c r="AM113" s="176"/>
      <c r="AN113" s="176"/>
      <c r="AO113" s="176"/>
      <c r="AP113" s="176"/>
      <c r="AQ113" s="176"/>
    </row>
    <row r="114" spans="1:43" s="168" customFormat="1">
      <c r="A114" s="178"/>
      <c r="B114" s="178"/>
      <c r="C114" s="178"/>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E114" s="169"/>
      <c r="AF114" s="179"/>
      <c r="AG114" s="179"/>
      <c r="AH114" s="176"/>
      <c r="AI114" s="176"/>
      <c r="AJ114" s="176"/>
      <c r="AK114" s="176"/>
      <c r="AL114" s="176"/>
      <c r="AM114" s="176"/>
      <c r="AN114" s="176"/>
      <c r="AO114" s="176"/>
      <c r="AP114" s="176"/>
      <c r="AQ114" s="176"/>
    </row>
    <row r="115" spans="1:43" s="168" customFormat="1">
      <c r="A115" s="178"/>
      <c r="B115" s="178"/>
      <c r="C115" s="178"/>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E115" s="169"/>
      <c r="AF115" s="179"/>
      <c r="AG115" s="179"/>
      <c r="AH115" s="176"/>
      <c r="AI115" s="176"/>
      <c r="AJ115" s="176"/>
      <c r="AK115" s="176"/>
      <c r="AL115" s="176"/>
      <c r="AM115" s="176"/>
      <c r="AN115" s="176"/>
      <c r="AO115" s="176"/>
      <c r="AP115" s="176"/>
      <c r="AQ115" s="176"/>
    </row>
    <row r="116" spans="1:43" s="168" customFormat="1">
      <c r="A116" s="178"/>
      <c r="B116" s="178"/>
      <c r="C116" s="178"/>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E116" s="169"/>
      <c r="AF116" s="179"/>
      <c r="AG116" s="179"/>
      <c r="AH116" s="176"/>
      <c r="AI116" s="176"/>
      <c r="AJ116" s="176"/>
      <c r="AK116" s="176"/>
      <c r="AL116" s="176"/>
      <c r="AM116" s="176"/>
      <c r="AN116" s="176"/>
      <c r="AO116" s="176"/>
      <c r="AP116" s="176"/>
      <c r="AQ116" s="176"/>
    </row>
    <row r="117" spans="1:43" s="168" customFormat="1">
      <c r="A117" s="178"/>
      <c r="B117" s="178"/>
      <c r="C117" s="178"/>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E117" s="169"/>
      <c r="AF117" s="179"/>
      <c r="AG117" s="179"/>
      <c r="AH117" s="176"/>
      <c r="AI117" s="176"/>
      <c r="AJ117" s="176"/>
      <c r="AK117" s="176"/>
      <c r="AL117" s="176"/>
      <c r="AM117" s="176"/>
      <c r="AN117" s="176"/>
      <c r="AO117" s="176"/>
      <c r="AP117" s="176"/>
      <c r="AQ117" s="176"/>
    </row>
    <row r="118" spans="1:43" s="168" customFormat="1">
      <c r="A118" s="178"/>
      <c r="B118" s="178"/>
      <c r="C118" s="178"/>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E118" s="169"/>
      <c r="AF118" s="179"/>
      <c r="AG118" s="179"/>
      <c r="AH118" s="176"/>
      <c r="AI118" s="176"/>
      <c r="AJ118" s="176"/>
      <c r="AK118" s="176"/>
      <c r="AL118" s="176"/>
      <c r="AM118" s="176"/>
      <c r="AN118" s="176"/>
      <c r="AO118" s="176"/>
      <c r="AP118" s="176"/>
      <c r="AQ118" s="176"/>
    </row>
    <row r="119" spans="1:43" s="168" customFormat="1">
      <c r="A119" s="178"/>
      <c r="B119" s="178"/>
      <c r="C119" s="178"/>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E119" s="169"/>
      <c r="AF119" s="179"/>
      <c r="AG119" s="179"/>
      <c r="AH119" s="176"/>
      <c r="AI119" s="176"/>
      <c r="AJ119" s="176"/>
      <c r="AK119" s="176"/>
      <c r="AL119" s="176"/>
      <c r="AM119" s="176"/>
      <c r="AN119" s="176"/>
      <c r="AO119" s="176"/>
      <c r="AP119" s="176"/>
      <c r="AQ119" s="176"/>
    </row>
    <row r="120" spans="1:43" s="168" customFormat="1">
      <c r="A120" s="178"/>
      <c r="B120" s="178"/>
      <c r="C120" s="178"/>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E120" s="169"/>
      <c r="AF120" s="179"/>
      <c r="AG120" s="179"/>
      <c r="AH120" s="176"/>
      <c r="AI120" s="176"/>
      <c r="AJ120" s="176"/>
      <c r="AK120" s="176"/>
      <c r="AL120" s="176"/>
      <c r="AM120" s="176"/>
      <c r="AN120" s="176"/>
      <c r="AO120" s="176"/>
      <c r="AP120" s="176"/>
      <c r="AQ120" s="176"/>
    </row>
    <row r="121" spans="1:43" s="168" customFormat="1">
      <c r="A121" s="178"/>
      <c r="B121" s="178"/>
      <c r="C121" s="178"/>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E121" s="169"/>
      <c r="AF121" s="179"/>
      <c r="AG121" s="179"/>
      <c r="AH121" s="176"/>
      <c r="AI121" s="176"/>
      <c r="AJ121" s="176"/>
      <c r="AK121" s="176"/>
      <c r="AL121" s="176"/>
      <c r="AM121" s="176"/>
      <c r="AN121" s="176"/>
      <c r="AO121" s="176"/>
      <c r="AP121" s="176"/>
      <c r="AQ121" s="176"/>
    </row>
    <row r="122" spans="1:43" s="168" customFormat="1">
      <c r="A122" s="178"/>
      <c r="B122" s="178"/>
      <c r="C122" s="178"/>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E122" s="169"/>
      <c r="AF122" s="179"/>
      <c r="AG122" s="179"/>
      <c r="AH122" s="176"/>
      <c r="AI122" s="176"/>
      <c r="AJ122" s="176"/>
      <c r="AK122" s="176"/>
      <c r="AL122" s="176"/>
      <c r="AM122" s="176"/>
      <c r="AN122" s="176"/>
      <c r="AO122" s="176"/>
      <c r="AP122" s="176"/>
      <c r="AQ122" s="176"/>
    </row>
    <row r="123" spans="1:43" s="168" customFormat="1">
      <c r="A123" s="178"/>
      <c r="B123" s="178"/>
      <c r="C123" s="178"/>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E123" s="169"/>
      <c r="AF123" s="179"/>
      <c r="AG123" s="179"/>
      <c r="AH123" s="176"/>
      <c r="AI123" s="176"/>
      <c r="AJ123" s="176"/>
      <c r="AK123" s="176"/>
      <c r="AL123" s="176"/>
      <c r="AM123" s="176"/>
      <c r="AN123" s="176"/>
      <c r="AO123" s="176"/>
      <c r="AP123" s="176"/>
      <c r="AQ123" s="176"/>
    </row>
    <row r="124" spans="1:43" s="168" customFormat="1">
      <c r="A124" s="178"/>
      <c r="B124" s="178"/>
      <c r="C124" s="178"/>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E124" s="169"/>
      <c r="AF124" s="179"/>
      <c r="AG124" s="179"/>
      <c r="AH124" s="176"/>
      <c r="AI124" s="176"/>
      <c r="AJ124" s="176"/>
      <c r="AK124" s="176"/>
      <c r="AL124" s="176"/>
      <c r="AM124" s="176"/>
      <c r="AN124" s="176"/>
      <c r="AO124" s="176"/>
      <c r="AP124" s="176"/>
      <c r="AQ124" s="176"/>
    </row>
    <row r="125" spans="1:43" s="168" customFormat="1">
      <c r="A125" s="178"/>
      <c r="B125" s="178"/>
      <c r="C125" s="178"/>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E125" s="169"/>
      <c r="AF125" s="179"/>
      <c r="AG125" s="179"/>
      <c r="AH125" s="176"/>
      <c r="AI125" s="176"/>
      <c r="AJ125" s="176"/>
      <c r="AK125" s="176"/>
      <c r="AL125" s="176"/>
      <c r="AM125" s="176"/>
      <c r="AN125" s="176"/>
      <c r="AO125" s="176"/>
      <c r="AP125" s="176"/>
      <c r="AQ125" s="176"/>
    </row>
    <row r="126" spans="1:43" s="168" customFormat="1">
      <c r="A126" s="178"/>
      <c r="B126" s="178"/>
      <c r="C126" s="178"/>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E126" s="169"/>
      <c r="AF126" s="179"/>
      <c r="AG126" s="179"/>
      <c r="AH126" s="176"/>
      <c r="AI126" s="176"/>
      <c r="AJ126" s="176"/>
      <c r="AK126" s="176"/>
      <c r="AL126" s="176"/>
      <c r="AM126" s="176"/>
      <c r="AN126" s="176"/>
      <c r="AO126" s="176"/>
      <c r="AP126" s="176"/>
      <c r="AQ126" s="176"/>
    </row>
    <row r="127" spans="1:43" s="168" customFormat="1">
      <c r="A127" s="178"/>
      <c r="B127" s="178"/>
      <c r="C127" s="178"/>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E127" s="169"/>
      <c r="AF127" s="179"/>
      <c r="AG127" s="179"/>
      <c r="AH127" s="176"/>
      <c r="AI127" s="176"/>
      <c r="AJ127" s="176"/>
      <c r="AK127" s="176"/>
      <c r="AL127" s="176"/>
      <c r="AM127" s="176"/>
      <c r="AN127" s="176"/>
      <c r="AO127" s="176"/>
      <c r="AP127" s="176"/>
      <c r="AQ127" s="176"/>
    </row>
    <row r="128" spans="1:43" s="168" customFormat="1">
      <c r="A128" s="178"/>
      <c r="B128" s="178"/>
      <c r="C128" s="178"/>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E128" s="169"/>
      <c r="AF128" s="179"/>
      <c r="AG128" s="179"/>
      <c r="AH128" s="176"/>
      <c r="AI128" s="176"/>
      <c r="AJ128" s="176"/>
      <c r="AK128" s="176"/>
      <c r="AL128" s="176"/>
      <c r="AM128" s="176"/>
      <c r="AN128" s="176"/>
      <c r="AO128" s="176"/>
      <c r="AP128" s="176"/>
      <c r="AQ128" s="176"/>
    </row>
    <row r="129" spans="1:43" s="168" customFormat="1">
      <c r="A129" s="178"/>
      <c r="B129" s="178"/>
      <c r="C129" s="178"/>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E129" s="169"/>
      <c r="AF129" s="179"/>
      <c r="AG129" s="179"/>
      <c r="AH129" s="176"/>
      <c r="AI129" s="176"/>
      <c r="AJ129" s="176"/>
      <c r="AK129" s="176"/>
      <c r="AL129" s="176"/>
      <c r="AM129" s="176"/>
      <c r="AN129" s="176"/>
      <c r="AO129" s="176"/>
      <c r="AP129" s="176"/>
      <c r="AQ129" s="176"/>
    </row>
    <row r="130" spans="1:43" s="168" customFormat="1">
      <c r="A130" s="178"/>
      <c r="B130" s="178"/>
      <c r="C130" s="178"/>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E130" s="169"/>
      <c r="AF130" s="179"/>
      <c r="AG130" s="179"/>
      <c r="AH130" s="176"/>
      <c r="AI130" s="176"/>
      <c r="AJ130" s="176"/>
      <c r="AK130" s="176"/>
      <c r="AL130" s="176"/>
      <c r="AM130" s="176"/>
      <c r="AN130" s="176"/>
      <c r="AO130" s="176"/>
      <c r="AP130" s="176"/>
      <c r="AQ130" s="176"/>
    </row>
    <row r="131" spans="1:43" s="168" customFormat="1">
      <c r="A131" s="178"/>
      <c r="B131" s="178"/>
      <c r="C131" s="178"/>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E131" s="169"/>
      <c r="AF131" s="179"/>
      <c r="AG131" s="179"/>
      <c r="AH131" s="176"/>
      <c r="AI131" s="176"/>
      <c r="AJ131" s="176"/>
      <c r="AK131" s="176"/>
      <c r="AL131" s="176"/>
      <c r="AM131" s="176"/>
      <c r="AN131" s="176"/>
      <c r="AO131" s="176"/>
      <c r="AP131" s="176"/>
      <c r="AQ131" s="176"/>
    </row>
    <row r="132" spans="1:43" s="168" customFormat="1">
      <c r="A132" s="178"/>
      <c r="B132" s="178"/>
      <c r="C132" s="178"/>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E132" s="169"/>
      <c r="AF132" s="179"/>
      <c r="AG132" s="179"/>
      <c r="AH132" s="176"/>
      <c r="AI132" s="176"/>
      <c r="AJ132" s="176"/>
      <c r="AK132" s="176"/>
      <c r="AL132" s="176"/>
      <c r="AM132" s="176"/>
      <c r="AN132" s="176"/>
      <c r="AO132" s="176"/>
      <c r="AP132" s="176"/>
      <c r="AQ132" s="176"/>
    </row>
    <row r="133" spans="1:43" s="168" customFormat="1">
      <c r="A133" s="178"/>
      <c r="B133" s="178"/>
      <c r="C133" s="178"/>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E133" s="169"/>
      <c r="AF133" s="179"/>
      <c r="AG133" s="179"/>
      <c r="AH133" s="176"/>
      <c r="AI133" s="176"/>
      <c r="AJ133" s="176"/>
      <c r="AK133" s="176"/>
      <c r="AL133" s="176"/>
      <c r="AM133" s="176"/>
      <c r="AN133" s="176"/>
      <c r="AO133" s="176"/>
      <c r="AP133" s="176"/>
      <c r="AQ133" s="176"/>
    </row>
    <row r="134" spans="1:43" s="168" customFormat="1">
      <c r="A134" s="178"/>
      <c r="B134" s="178"/>
      <c r="C134" s="178"/>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E134" s="169"/>
      <c r="AF134" s="179"/>
      <c r="AG134" s="179"/>
      <c r="AH134" s="176"/>
      <c r="AI134" s="176"/>
      <c r="AJ134" s="176"/>
      <c r="AK134" s="176"/>
      <c r="AL134" s="176"/>
      <c r="AM134" s="176"/>
      <c r="AN134" s="176"/>
      <c r="AO134" s="176"/>
      <c r="AP134" s="176"/>
      <c r="AQ134" s="176"/>
    </row>
    <row r="135" spans="1:43" s="168" customFormat="1">
      <c r="A135" s="178"/>
      <c r="B135" s="178"/>
      <c r="C135" s="178"/>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E135" s="169"/>
      <c r="AF135" s="179"/>
      <c r="AG135" s="179"/>
      <c r="AH135" s="176"/>
      <c r="AI135" s="176"/>
      <c r="AJ135" s="176"/>
      <c r="AK135" s="176"/>
      <c r="AL135" s="176"/>
      <c r="AM135" s="176"/>
      <c r="AN135" s="176"/>
      <c r="AO135" s="176"/>
      <c r="AP135" s="176"/>
      <c r="AQ135" s="176"/>
    </row>
    <row r="136" spans="1:43" s="168" customFormat="1">
      <c r="A136" s="178"/>
      <c r="B136" s="178"/>
      <c r="C136" s="178"/>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E136" s="169"/>
      <c r="AF136" s="179"/>
      <c r="AG136" s="179"/>
      <c r="AH136" s="176"/>
      <c r="AI136" s="176"/>
      <c r="AJ136" s="176"/>
      <c r="AK136" s="176"/>
      <c r="AL136" s="176"/>
      <c r="AM136" s="176"/>
      <c r="AN136" s="176"/>
      <c r="AO136" s="176"/>
      <c r="AP136" s="176"/>
      <c r="AQ136" s="176"/>
    </row>
    <row r="137" spans="1:43" s="168" customFormat="1">
      <c r="A137" s="178"/>
      <c r="B137" s="178"/>
      <c r="C137" s="178"/>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E137" s="169"/>
      <c r="AF137" s="179"/>
      <c r="AG137" s="179"/>
      <c r="AH137" s="176"/>
      <c r="AI137" s="176"/>
      <c r="AJ137" s="176"/>
      <c r="AK137" s="176"/>
      <c r="AL137" s="176"/>
      <c r="AM137" s="176"/>
      <c r="AN137" s="176"/>
      <c r="AO137" s="176"/>
      <c r="AP137" s="176"/>
      <c r="AQ137" s="176"/>
    </row>
    <row r="138" spans="1:43" s="168" customFormat="1">
      <c r="A138" s="178"/>
      <c r="B138" s="178"/>
      <c r="C138" s="178"/>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E138" s="169"/>
      <c r="AF138" s="179"/>
      <c r="AG138" s="179"/>
      <c r="AH138" s="176"/>
      <c r="AI138" s="176"/>
      <c r="AJ138" s="176"/>
      <c r="AK138" s="176"/>
      <c r="AL138" s="176"/>
      <c r="AM138" s="176"/>
      <c r="AN138" s="176"/>
      <c r="AO138" s="176"/>
      <c r="AP138" s="176"/>
      <c r="AQ138" s="176"/>
    </row>
    <row r="139" spans="1:43" s="168" customFormat="1">
      <c r="A139" s="178"/>
      <c r="B139" s="178"/>
      <c r="C139" s="178"/>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E139" s="169"/>
      <c r="AF139" s="179"/>
      <c r="AG139" s="179"/>
      <c r="AH139" s="176"/>
      <c r="AI139" s="176"/>
      <c r="AJ139" s="176"/>
      <c r="AK139" s="176"/>
      <c r="AL139" s="176"/>
      <c r="AM139" s="176"/>
      <c r="AN139" s="176"/>
      <c r="AO139" s="176"/>
      <c r="AP139" s="176"/>
      <c r="AQ139" s="176"/>
    </row>
    <row r="140" spans="1:43" s="168" customFormat="1">
      <c r="A140" s="178"/>
      <c r="B140" s="178"/>
      <c r="C140" s="178"/>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E140" s="169"/>
      <c r="AF140" s="179"/>
      <c r="AG140" s="179"/>
      <c r="AH140" s="176"/>
      <c r="AI140" s="176"/>
      <c r="AJ140" s="176"/>
      <c r="AK140" s="176"/>
      <c r="AL140" s="176"/>
      <c r="AM140" s="176"/>
      <c r="AN140" s="176"/>
      <c r="AO140" s="176"/>
      <c r="AP140" s="176"/>
      <c r="AQ140" s="176"/>
    </row>
    <row r="141" spans="1:43" s="168" customFormat="1">
      <c r="A141" s="178"/>
      <c r="B141" s="178"/>
      <c r="C141" s="178"/>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E141" s="169"/>
      <c r="AF141" s="179"/>
      <c r="AG141" s="179"/>
      <c r="AH141" s="176"/>
      <c r="AI141" s="176"/>
      <c r="AJ141" s="176"/>
      <c r="AK141" s="176"/>
      <c r="AL141" s="176"/>
      <c r="AM141" s="176"/>
      <c r="AN141" s="176"/>
      <c r="AO141" s="176"/>
      <c r="AP141" s="176"/>
      <c r="AQ141" s="176"/>
    </row>
    <row r="142" spans="1:43" s="168" customFormat="1">
      <c r="A142" s="178"/>
      <c r="B142" s="178"/>
      <c r="C142" s="178"/>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E142" s="169"/>
      <c r="AF142" s="179"/>
      <c r="AG142" s="179"/>
      <c r="AH142" s="176"/>
      <c r="AI142" s="176"/>
      <c r="AJ142" s="176"/>
      <c r="AK142" s="176"/>
      <c r="AL142" s="176"/>
      <c r="AM142" s="176"/>
      <c r="AN142" s="176"/>
      <c r="AO142" s="176"/>
      <c r="AP142" s="176"/>
      <c r="AQ142" s="176"/>
    </row>
    <row r="143" spans="1:43" s="168" customFormat="1">
      <c r="A143" s="178"/>
      <c r="B143" s="178"/>
      <c r="C143" s="178"/>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E143" s="169"/>
      <c r="AF143" s="179"/>
      <c r="AG143" s="179"/>
      <c r="AH143" s="176"/>
      <c r="AI143" s="176"/>
      <c r="AJ143" s="176"/>
      <c r="AK143" s="176"/>
      <c r="AL143" s="176"/>
      <c r="AM143" s="176"/>
      <c r="AN143" s="176"/>
      <c r="AO143" s="176"/>
      <c r="AP143" s="176"/>
      <c r="AQ143" s="176"/>
    </row>
    <row r="144" spans="1:43" s="168" customFormat="1">
      <c r="A144" s="178"/>
      <c r="B144" s="178"/>
      <c r="C144" s="178"/>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E144" s="169"/>
      <c r="AF144" s="179"/>
      <c r="AG144" s="179"/>
      <c r="AH144" s="176"/>
      <c r="AI144" s="176"/>
      <c r="AJ144" s="176"/>
      <c r="AK144" s="176"/>
      <c r="AL144" s="176"/>
      <c r="AM144" s="176"/>
      <c r="AN144" s="176"/>
      <c r="AO144" s="176"/>
      <c r="AP144" s="176"/>
      <c r="AQ144" s="176"/>
    </row>
    <row r="145" spans="1:43" s="168" customFormat="1">
      <c r="A145" s="178"/>
      <c r="B145" s="178"/>
      <c r="C145" s="178"/>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E145" s="169"/>
      <c r="AF145" s="179"/>
      <c r="AG145" s="179"/>
      <c r="AH145" s="176"/>
      <c r="AI145" s="176"/>
      <c r="AJ145" s="176"/>
      <c r="AK145" s="176"/>
      <c r="AL145" s="176"/>
      <c r="AM145" s="176"/>
      <c r="AN145" s="176"/>
      <c r="AO145" s="176"/>
      <c r="AP145" s="176"/>
      <c r="AQ145" s="176"/>
    </row>
    <row r="146" spans="1:43" s="168" customFormat="1">
      <c r="A146" s="178"/>
      <c r="B146" s="178"/>
      <c r="C146" s="178"/>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E146" s="169"/>
      <c r="AF146" s="179"/>
      <c r="AG146" s="179"/>
      <c r="AH146" s="176"/>
      <c r="AI146" s="176"/>
      <c r="AJ146" s="176"/>
      <c r="AK146" s="176"/>
      <c r="AL146" s="176"/>
      <c r="AM146" s="176"/>
      <c r="AN146" s="176"/>
      <c r="AO146" s="176"/>
      <c r="AP146" s="176"/>
      <c r="AQ146" s="176"/>
    </row>
    <row r="147" spans="1:43" s="168" customFormat="1">
      <c r="A147" s="178"/>
      <c r="B147" s="178"/>
      <c r="C147" s="178"/>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E147" s="169"/>
      <c r="AF147" s="179"/>
      <c r="AG147" s="179"/>
      <c r="AH147" s="176"/>
      <c r="AI147" s="176"/>
      <c r="AJ147" s="176"/>
      <c r="AK147" s="176"/>
      <c r="AL147" s="176"/>
      <c r="AM147" s="176"/>
      <c r="AN147" s="176"/>
      <c r="AO147" s="176"/>
      <c r="AP147" s="176"/>
      <c r="AQ147" s="176"/>
    </row>
    <row r="148" spans="1:43" s="168" customFormat="1">
      <c r="A148" s="178"/>
      <c r="B148" s="178"/>
      <c r="C148" s="178"/>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E148" s="169"/>
      <c r="AF148" s="179"/>
      <c r="AG148" s="179"/>
      <c r="AH148" s="176"/>
      <c r="AI148" s="176"/>
      <c r="AJ148" s="176"/>
      <c r="AK148" s="176"/>
      <c r="AL148" s="176"/>
      <c r="AM148" s="176"/>
      <c r="AN148" s="176"/>
      <c r="AO148" s="176"/>
      <c r="AP148" s="176"/>
      <c r="AQ148" s="176"/>
    </row>
    <row r="149" spans="1:43" s="168" customFormat="1">
      <c r="A149" s="178"/>
      <c r="B149" s="178"/>
      <c r="C149" s="178"/>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E149" s="169"/>
      <c r="AF149" s="179"/>
      <c r="AG149" s="179"/>
      <c r="AH149" s="176"/>
      <c r="AI149" s="176"/>
      <c r="AJ149" s="176"/>
      <c r="AK149" s="176"/>
      <c r="AL149" s="176"/>
      <c r="AM149" s="176"/>
      <c r="AN149" s="176"/>
      <c r="AO149" s="176"/>
      <c r="AP149" s="176"/>
      <c r="AQ149" s="176"/>
    </row>
    <row r="150" spans="1:43" s="168" customFormat="1">
      <c r="A150" s="178"/>
      <c r="B150" s="178"/>
      <c r="C150" s="178"/>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E150" s="169"/>
      <c r="AF150" s="179"/>
      <c r="AG150" s="179"/>
      <c r="AH150" s="176"/>
      <c r="AI150" s="176"/>
      <c r="AJ150" s="176"/>
      <c r="AK150" s="176"/>
      <c r="AL150" s="176"/>
      <c r="AM150" s="176"/>
      <c r="AN150" s="176"/>
      <c r="AO150" s="176"/>
      <c r="AP150" s="176"/>
      <c r="AQ150" s="176"/>
    </row>
    <row r="151" spans="1:43" s="168" customFormat="1">
      <c r="A151" s="178"/>
      <c r="B151" s="178"/>
      <c r="C151" s="178"/>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E151" s="169"/>
      <c r="AF151" s="179"/>
      <c r="AG151" s="179"/>
      <c r="AH151" s="176"/>
      <c r="AI151" s="176"/>
      <c r="AJ151" s="176"/>
      <c r="AK151" s="176"/>
      <c r="AL151" s="176"/>
      <c r="AM151" s="176"/>
      <c r="AN151" s="176"/>
      <c r="AO151" s="176"/>
      <c r="AP151" s="176"/>
      <c r="AQ151" s="176"/>
    </row>
    <row r="152" spans="1:43" s="168" customFormat="1">
      <c r="A152" s="178"/>
      <c r="B152" s="178"/>
      <c r="C152" s="178"/>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E152" s="169"/>
      <c r="AF152" s="179"/>
      <c r="AG152" s="179"/>
      <c r="AH152" s="176"/>
      <c r="AI152" s="176"/>
      <c r="AJ152" s="176"/>
      <c r="AK152" s="176"/>
      <c r="AL152" s="176"/>
      <c r="AM152" s="176"/>
      <c r="AN152" s="176"/>
      <c r="AO152" s="176"/>
      <c r="AP152" s="176"/>
      <c r="AQ152" s="176"/>
    </row>
    <row r="153" spans="1:43" s="168" customFormat="1">
      <c r="A153" s="178"/>
      <c r="B153" s="178"/>
      <c r="C153" s="178"/>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E153" s="169"/>
      <c r="AF153" s="179"/>
      <c r="AG153" s="179"/>
      <c r="AH153" s="176"/>
      <c r="AI153" s="176"/>
      <c r="AJ153" s="176"/>
      <c r="AK153" s="176"/>
      <c r="AL153" s="176"/>
      <c r="AM153" s="176"/>
      <c r="AN153" s="176"/>
      <c r="AO153" s="176"/>
      <c r="AP153" s="176"/>
      <c r="AQ153" s="176"/>
    </row>
    <row r="154" spans="1:43" s="168" customFormat="1">
      <c r="A154" s="178"/>
      <c r="B154" s="178"/>
      <c r="C154" s="178"/>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E154" s="169"/>
      <c r="AF154" s="179"/>
      <c r="AG154" s="179"/>
      <c r="AH154" s="176"/>
      <c r="AI154" s="176"/>
      <c r="AJ154" s="176"/>
      <c r="AK154" s="176"/>
      <c r="AL154" s="176"/>
      <c r="AM154" s="176"/>
      <c r="AN154" s="176"/>
      <c r="AO154" s="176"/>
      <c r="AP154" s="176"/>
      <c r="AQ154" s="176"/>
    </row>
    <row r="155" spans="1:43" s="168" customFormat="1">
      <c r="A155" s="178"/>
      <c r="B155" s="178"/>
      <c r="C155" s="178"/>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E155" s="169"/>
      <c r="AF155" s="179"/>
      <c r="AG155" s="179"/>
      <c r="AH155" s="176"/>
      <c r="AI155" s="176"/>
      <c r="AJ155" s="176"/>
      <c r="AK155" s="176"/>
      <c r="AL155" s="176"/>
      <c r="AM155" s="176"/>
      <c r="AN155" s="176"/>
      <c r="AO155" s="176"/>
      <c r="AP155" s="176"/>
      <c r="AQ155" s="176"/>
    </row>
    <row r="156" spans="1:43" s="168" customFormat="1">
      <c r="A156" s="178"/>
      <c r="B156" s="178"/>
      <c r="C156" s="178"/>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E156" s="169"/>
      <c r="AF156" s="179"/>
      <c r="AG156" s="179"/>
      <c r="AH156" s="176"/>
      <c r="AI156" s="176"/>
      <c r="AJ156" s="176"/>
      <c r="AK156" s="176"/>
      <c r="AL156" s="176"/>
      <c r="AM156" s="176"/>
      <c r="AN156" s="176"/>
      <c r="AO156" s="176"/>
      <c r="AP156" s="176"/>
      <c r="AQ156" s="176"/>
    </row>
    <row r="157" spans="1:43" s="168" customFormat="1">
      <c r="A157" s="178"/>
      <c r="B157" s="178"/>
      <c r="C157" s="178"/>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E157" s="169"/>
      <c r="AF157" s="179"/>
      <c r="AG157" s="179"/>
      <c r="AH157" s="176"/>
      <c r="AI157" s="176"/>
      <c r="AJ157" s="176"/>
      <c r="AK157" s="176"/>
      <c r="AL157" s="176"/>
      <c r="AM157" s="176"/>
      <c r="AN157" s="176"/>
      <c r="AO157" s="176"/>
      <c r="AP157" s="176"/>
      <c r="AQ157" s="176"/>
    </row>
    <row r="158" spans="1:43" s="168" customFormat="1">
      <c r="A158" s="178"/>
      <c r="B158" s="178"/>
      <c r="C158" s="178"/>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E158" s="169"/>
      <c r="AF158" s="179"/>
      <c r="AG158" s="179"/>
      <c r="AH158" s="176"/>
      <c r="AI158" s="176"/>
      <c r="AJ158" s="176"/>
      <c r="AK158" s="176"/>
      <c r="AL158" s="176"/>
      <c r="AM158" s="176"/>
      <c r="AN158" s="176"/>
      <c r="AO158" s="176"/>
      <c r="AP158" s="176"/>
      <c r="AQ158" s="176"/>
    </row>
    <row r="159" spans="1:43" s="168" customFormat="1">
      <c r="A159" s="178"/>
      <c r="B159" s="178"/>
      <c r="C159" s="178"/>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E159" s="169"/>
      <c r="AF159" s="179"/>
      <c r="AG159" s="179"/>
      <c r="AH159" s="176"/>
      <c r="AI159" s="176"/>
      <c r="AJ159" s="176"/>
      <c r="AK159" s="176"/>
      <c r="AL159" s="176"/>
      <c r="AM159" s="176"/>
      <c r="AN159" s="176"/>
      <c r="AO159" s="176"/>
      <c r="AP159" s="176"/>
      <c r="AQ159" s="176"/>
    </row>
    <row r="160" spans="1:43" s="168" customFormat="1">
      <c r="A160" s="178"/>
      <c r="B160" s="178"/>
      <c r="C160" s="178"/>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E160" s="169"/>
      <c r="AF160" s="179"/>
      <c r="AG160" s="179"/>
      <c r="AH160" s="176"/>
      <c r="AI160" s="176"/>
      <c r="AJ160" s="176"/>
      <c r="AK160" s="176"/>
      <c r="AL160" s="176"/>
      <c r="AM160" s="176"/>
      <c r="AN160" s="176"/>
      <c r="AO160" s="176"/>
      <c r="AP160" s="176"/>
      <c r="AQ160" s="176"/>
    </row>
    <row r="161" spans="1:43" s="168" customFormat="1">
      <c r="A161" s="178"/>
      <c r="B161" s="178"/>
      <c r="C161" s="178"/>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E161" s="169"/>
      <c r="AF161" s="179"/>
      <c r="AG161" s="179"/>
      <c r="AH161" s="176"/>
      <c r="AI161" s="176"/>
      <c r="AJ161" s="176"/>
      <c r="AK161" s="176"/>
      <c r="AL161" s="176"/>
      <c r="AM161" s="176"/>
      <c r="AN161" s="176"/>
      <c r="AO161" s="176"/>
      <c r="AP161" s="176"/>
      <c r="AQ161" s="176"/>
    </row>
    <row r="162" spans="1:43" s="168" customFormat="1">
      <c r="A162" s="178"/>
      <c r="B162" s="178"/>
      <c r="C162" s="178"/>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E162" s="169"/>
      <c r="AF162" s="179"/>
      <c r="AG162" s="179"/>
      <c r="AH162" s="176"/>
      <c r="AI162" s="176"/>
      <c r="AJ162" s="176"/>
      <c r="AK162" s="176"/>
      <c r="AL162" s="176"/>
      <c r="AM162" s="176"/>
      <c r="AN162" s="176"/>
      <c r="AO162" s="176"/>
      <c r="AP162" s="176"/>
      <c r="AQ162" s="176"/>
    </row>
    <row r="163" spans="1:43" s="168" customFormat="1">
      <c r="A163" s="178"/>
      <c r="B163" s="178"/>
      <c r="C163" s="178"/>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E163" s="169"/>
      <c r="AF163" s="179"/>
      <c r="AG163" s="179"/>
      <c r="AH163" s="176"/>
      <c r="AI163" s="176"/>
      <c r="AJ163" s="176"/>
      <c r="AK163" s="176"/>
      <c r="AL163" s="176"/>
      <c r="AM163" s="176"/>
      <c r="AN163" s="176"/>
      <c r="AO163" s="176"/>
      <c r="AP163" s="176"/>
      <c r="AQ163" s="176"/>
    </row>
    <row r="164" spans="1:43" s="168" customFormat="1">
      <c r="A164" s="178"/>
      <c r="B164" s="178"/>
      <c r="C164" s="178"/>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E164" s="169"/>
      <c r="AF164" s="179"/>
      <c r="AG164" s="179"/>
      <c r="AH164" s="176"/>
      <c r="AI164" s="176"/>
      <c r="AJ164" s="176"/>
      <c r="AK164" s="176"/>
      <c r="AL164" s="176"/>
      <c r="AM164" s="176"/>
      <c r="AN164" s="176"/>
      <c r="AO164" s="176"/>
      <c r="AP164" s="176"/>
      <c r="AQ164" s="176"/>
    </row>
    <row r="165" spans="1:43" s="168" customFormat="1">
      <c r="A165" s="178"/>
      <c r="B165" s="178"/>
      <c r="C165" s="178"/>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E165" s="169"/>
      <c r="AF165" s="179"/>
      <c r="AG165" s="179"/>
      <c r="AH165" s="176"/>
      <c r="AI165" s="176"/>
      <c r="AJ165" s="176"/>
      <c r="AK165" s="176"/>
      <c r="AL165" s="176"/>
      <c r="AM165" s="176"/>
      <c r="AN165" s="176"/>
      <c r="AO165" s="176"/>
      <c r="AP165" s="176"/>
      <c r="AQ165" s="176"/>
    </row>
    <row r="166" spans="1:43" s="168" customFormat="1">
      <c r="A166" s="178"/>
      <c r="B166" s="178"/>
      <c r="C166" s="178"/>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E166" s="169"/>
      <c r="AF166" s="179"/>
      <c r="AG166" s="179"/>
      <c r="AH166" s="176"/>
      <c r="AI166" s="176"/>
      <c r="AJ166" s="176"/>
      <c r="AK166" s="176"/>
      <c r="AL166" s="176"/>
      <c r="AM166" s="176"/>
      <c r="AN166" s="176"/>
      <c r="AO166" s="176"/>
      <c r="AP166" s="176"/>
      <c r="AQ166" s="176"/>
    </row>
    <row r="167" spans="1:43" s="168" customFormat="1">
      <c r="A167" s="178"/>
      <c r="B167" s="178"/>
      <c r="C167" s="178"/>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E167" s="169"/>
      <c r="AF167" s="179"/>
      <c r="AG167" s="179"/>
      <c r="AH167" s="176"/>
      <c r="AI167" s="176"/>
      <c r="AJ167" s="176"/>
      <c r="AK167" s="176"/>
      <c r="AL167" s="176"/>
      <c r="AM167" s="176"/>
      <c r="AN167" s="176"/>
      <c r="AO167" s="176"/>
      <c r="AP167" s="176"/>
      <c r="AQ167" s="176"/>
    </row>
    <row r="168" spans="1:43" s="168" customFormat="1">
      <c r="A168" s="178"/>
      <c r="B168" s="178"/>
      <c r="C168" s="178"/>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E168" s="169"/>
      <c r="AF168" s="179"/>
      <c r="AG168" s="179"/>
      <c r="AH168" s="176"/>
      <c r="AI168" s="176"/>
      <c r="AJ168" s="176"/>
      <c r="AK168" s="176"/>
      <c r="AL168" s="176"/>
      <c r="AM168" s="176"/>
      <c r="AN168" s="176"/>
      <c r="AO168" s="176"/>
      <c r="AP168" s="176"/>
      <c r="AQ168" s="176"/>
    </row>
    <row r="169" spans="1:43" s="168" customFormat="1">
      <c r="A169" s="178"/>
      <c r="B169" s="178"/>
      <c r="C169" s="178"/>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E169" s="169"/>
      <c r="AF169" s="179"/>
      <c r="AG169" s="179"/>
      <c r="AH169" s="176"/>
      <c r="AI169" s="176"/>
      <c r="AJ169" s="176"/>
      <c r="AK169" s="176"/>
      <c r="AL169" s="176"/>
      <c r="AM169" s="176"/>
      <c r="AN169" s="176"/>
      <c r="AO169" s="176"/>
      <c r="AP169" s="176"/>
      <c r="AQ169" s="176"/>
    </row>
    <row r="170" spans="1:43" s="168" customFormat="1">
      <c r="A170" s="178"/>
      <c r="B170" s="178"/>
      <c r="C170" s="178"/>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E170" s="169"/>
      <c r="AF170" s="179"/>
      <c r="AG170" s="179"/>
      <c r="AH170" s="176"/>
      <c r="AI170" s="176"/>
      <c r="AJ170" s="176"/>
      <c r="AK170" s="176"/>
      <c r="AL170" s="176"/>
      <c r="AM170" s="176"/>
      <c r="AN170" s="176"/>
      <c r="AO170" s="176"/>
      <c r="AP170" s="176"/>
      <c r="AQ170" s="176"/>
    </row>
    <row r="171" spans="1:43" s="168" customFormat="1">
      <c r="A171" s="178"/>
      <c r="B171" s="178"/>
      <c r="C171" s="178"/>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E171" s="169"/>
      <c r="AF171" s="179"/>
      <c r="AG171" s="179"/>
      <c r="AH171" s="176"/>
      <c r="AI171" s="176"/>
      <c r="AJ171" s="176"/>
      <c r="AK171" s="176"/>
      <c r="AL171" s="176"/>
      <c r="AM171" s="176"/>
      <c r="AN171" s="176"/>
      <c r="AO171" s="176"/>
      <c r="AP171" s="176"/>
      <c r="AQ171" s="176"/>
    </row>
    <row r="172" spans="1:43" s="168" customFormat="1">
      <c r="A172" s="178"/>
      <c r="B172" s="178"/>
      <c r="C172" s="178"/>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E172" s="169"/>
      <c r="AF172" s="179"/>
      <c r="AG172" s="179"/>
      <c r="AH172" s="176"/>
      <c r="AI172" s="176"/>
      <c r="AJ172" s="176"/>
      <c r="AK172" s="176"/>
      <c r="AL172" s="176"/>
      <c r="AM172" s="176"/>
      <c r="AN172" s="176"/>
      <c r="AO172" s="176"/>
      <c r="AP172" s="176"/>
      <c r="AQ172" s="176"/>
    </row>
    <row r="173" spans="1:43" s="168" customFormat="1">
      <c r="A173" s="178"/>
      <c r="B173" s="178"/>
      <c r="C173" s="178"/>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E173" s="169"/>
      <c r="AF173" s="179"/>
      <c r="AG173" s="179"/>
      <c r="AH173" s="176"/>
      <c r="AI173" s="176"/>
      <c r="AJ173" s="176"/>
      <c r="AK173" s="176"/>
      <c r="AL173" s="176"/>
      <c r="AM173" s="176"/>
      <c r="AN173" s="176"/>
      <c r="AO173" s="176"/>
      <c r="AP173" s="176"/>
      <c r="AQ173" s="176"/>
    </row>
    <row r="174" spans="1:43" s="168" customFormat="1">
      <c r="A174" s="178"/>
      <c r="B174" s="178"/>
      <c r="C174" s="178"/>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E174" s="169"/>
      <c r="AF174" s="179"/>
      <c r="AG174" s="179"/>
      <c r="AH174" s="176"/>
      <c r="AI174" s="176"/>
      <c r="AJ174" s="176"/>
      <c r="AK174" s="176"/>
      <c r="AL174" s="176"/>
      <c r="AM174" s="176"/>
      <c r="AN174" s="176"/>
      <c r="AO174" s="176"/>
      <c r="AP174" s="176"/>
      <c r="AQ174" s="176"/>
    </row>
    <row r="175" spans="1:43" s="168" customFormat="1">
      <c r="A175" s="178"/>
      <c r="B175" s="178"/>
      <c r="C175" s="178"/>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E175" s="169"/>
      <c r="AF175" s="179"/>
      <c r="AG175" s="179"/>
      <c r="AH175" s="176"/>
      <c r="AI175" s="176"/>
      <c r="AJ175" s="176"/>
      <c r="AK175" s="176"/>
      <c r="AL175" s="176"/>
      <c r="AM175" s="176"/>
      <c r="AN175" s="176"/>
      <c r="AO175" s="176"/>
      <c r="AP175" s="176"/>
      <c r="AQ175" s="176"/>
    </row>
    <row r="176" spans="1:43" s="168" customFormat="1">
      <c r="A176" s="178"/>
      <c r="B176" s="178"/>
      <c r="C176" s="178"/>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E176" s="169"/>
      <c r="AF176" s="179"/>
      <c r="AG176" s="179"/>
      <c r="AH176" s="176"/>
      <c r="AI176" s="176"/>
      <c r="AJ176" s="176"/>
      <c r="AK176" s="176"/>
      <c r="AL176" s="176"/>
      <c r="AM176" s="176"/>
      <c r="AN176" s="176"/>
      <c r="AO176" s="176"/>
      <c r="AP176" s="176"/>
      <c r="AQ176" s="176"/>
    </row>
    <row r="177" spans="1:43" s="168" customFormat="1">
      <c r="A177" s="178"/>
      <c r="B177" s="178"/>
      <c r="C177" s="178"/>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E177" s="169"/>
      <c r="AF177" s="179"/>
      <c r="AG177" s="179"/>
      <c r="AH177" s="176"/>
      <c r="AI177" s="176"/>
      <c r="AJ177" s="176"/>
      <c r="AK177" s="176"/>
      <c r="AL177" s="176"/>
      <c r="AM177" s="176"/>
      <c r="AN177" s="176"/>
      <c r="AO177" s="176"/>
      <c r="AP177" s="176"/>
      <c r="AQ177" s="176"/>
    </row>
    <row r="178" spans="1:43" s="168" customFormat="1">
      <c r="A178" s="178"/>
      <c r="B178" s="178"/>
      <c r="C178" s="178"/>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E178" s="169"/>
      <c r="AF178" s="179"/>
      <c r="AG178" s="179"/>
      <c r="AH178" s="176"/>
      <c r="AI178" s="176"/>
      <c r="AJ178" s="176"/>
      <c r="AK178" s="176"/>
      <c r="AL178" s="176"/>
      <c r="AM178" s="176"/>
      <c r="AN178" s="176"/>
      <c r="AO178" s="176"/>
      <c r="AP178" s="176"/>
      <c r="AQ178" s="176"/>
    </row>
    <row r="179" spans="1:43" s="168" customFormat="1">
      <c r="A179" s="178"/>
      <c r="B179" s="178"/>
      <c r="C179" s="178"/>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E179" s="169"/>
      <c r="AF179" s="179"/>
      <c r="AG179" s="179"/>
      <c r="AH179" s="176"/>
      <c r="AI179" s="176"/>
      <c r="AJ179" s="176"/>
      <c r="AK179" s="176"/>
      <c r="AL179" s="176"/>
      <c r="AM179" s="176"/>
      <c r="AN179" s="176"/>
      <c r="AO179" s="176"/>
      <c r="AP179" s="176"/>
      <c r="AQ179" s="176"/>
    </row>
    <row r="180" spans="1:43" s="168" customFormat="1">
      <c r="A180" s="178"/>
      <c r="B180" s="178"/>
      <c r="C180" s="178"/>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E180" s="169"/>
      <c r="AF180" s="179"/>
      <c r="AG180" s="179"/>
      <c r="AH180" s="176"/>
      <c r="AI180" s="176"/>
      <c r="AJ180" s="176"/>
      <c r="AK180" s="176"/>
      <c r="AL180" s="176"/>
      <c r="AM180" s="176"/>
      <c r="AN180" s="176"/>
      <c r="AO180" s="176"/>
      <c r="AP180" s="176"/>
      <c r="AQ180" s="176"/>
    </row>
    <row r="181" spans="1:43" s="168" customFormat="1">
      <c r="A181" s="178"/>
      <c r="B181" s="178"/>
      <c r="C181" s="178"/>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E181" s="169"/>
      <c r="AF181" s="179"/>
      <c r="AG181" s="179"/>
      <c r="AH181" s="176"/>
      <c r="AI181" s="176"/>
      <c r="AJ181" s="176"/>
      <c r="AK181" s="176"/>
      <c r="AL181" s="176"/>
      <c r="AM181" s="176"/>
      <c r="AN181" s="176"/>
      <c r="AO181" s="176"/>
      <c r="AP181" s="176"/>
      <c r="AQ181" s="176"/>
    </row>
    <row r="182" spans="1:43" s="168" customFormat="1">
      <c r="A182" s="178"/>
      <c r="B182" s="178"/>
      <c r="C182" s="178"/>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E182" s="169"/>
      <c r="AF182" s="179"/>
      <c r="AG182" s="179"/>
      <c r="AH182" s="176"/>
      <c r="AI182" s="176"/>
      <c r="AJ182" s="176"/>
      <c r="AK182" s="176"/>
      <c r="AL182" s="176"/>
      <c r="AM182" s="176"/>
      <c r="AN182" s="176"/>
      <c r="AO182" s="176"/>
      <c r="AP182" s="176"/>
      <c r="AQ182" s="176"/>
    </row>
    <row r="183" spans="1:43" s="168" customFormat="1">
      <c r="A183" s="178"/>
      <c r="B183" s="178"/>
      <c r="C183" s="178"/>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E183" s="169"/>
      <c r="AF183" s="179"/>
      <c r="AG183" s="179"/>
      <c r="AH183" s="176"/>
      <c r="AI183" s="176"/>
      <c r="AJ183" s="176"/>
      <c r="AK183" s="176"/>
      <c r="AL183" s="176"/>
      <c r="AM183" s="176"/>
      <c r="AN183" s="176"/>
      <c r="AO183" s="176"/>
      <c r="AP183" s="176"/>
      <c r="AQ183" s="176"/>
    </row>
    <row r="184" spans="1:43" s="168" customFormat="1">
      <c r="A184" s="178"/>
      <c r="B184" s="178"/>
      <c r="C184" s="178"/>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E184" s="169"/>
      <c r="AF184" s="179"/>
      <c r="AG184" s="179"/>
      <c r="AH184" s="176"/>
      <c r="AI184" s="176"/>
      <c r="AJ184" s="176"/>
      <c r="AK184" s="176"/>
      <c r="AL184" s="176"/>
      <c r="AM184" s="176"/>
      <c r="AN184" s="176"/>
      <c r="AO184" s="176"/>
      <c r="AP184" s="176"/>
      <c r="AQ184" s="176"/>
    </row>
    <row r="185" spans="1:43" s="168" customFormat="1">
      <c r="A185" s="178"/>
      <c r="B185" s="178"/>
      <c r="C185" s="178"/>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E185" s="169"/>
      <c r="AF185" s="179"/>
      <c r="AG185" s="179"/>
      <c r="AH185" s="176"/>
      <c r="AI185" s="176"/>
      <c r="AJ185" s="176"/>
      <c r="AK185" s="176"/>
      <c r="AL185" s="176"/>
      <c r="AM185" s="176"/>
      <c r="AN185" s="176"/>
      <c r="AO185" s="176"/>
      <c r="AP185" s="176"/>
      <c r="AQ185" s="176"/>
    </row>
    <row r="186" spans="1:43" s="168" customFormat="1">
      <c r="A186" s="178"/>
      <c r="B186" s="178"/>
      <c r="C186" s="178"/>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E186" s="169"/>
      <c r="AF186" s="179"/>
      <c r="AG186" s="179"/>
      <c r="AH186" s="176"/>
      <c r="AI186" s="176"/>
      <c r="AJ186" s="176"/>
      <c r="AK186" s="176"/>
      <c r="AL186" s="176"/>
      <c r="AM186" s="176"/>
      <c r="AN186" s="176"/>
      <c r="AO186" s="176"/>
      <c r="AP186" s="176"/>
      <c r="AQ186" s="176"/>
    </row>
    <row r="187" spans="1:43" s="168" customFormat="1">
      <c r="A187" s="178"/>
      <c r="B187" s="178"/>
      <c r="C187" s="178"/>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E187" s="169"/>
      <c r="AF187" s="179"/>
      <c r="AG187" s="179"/>
      <c r="AH187" s="176"/>
      <c r="AI187" s="176"/>
      <c r="AJ187" s="176"/>
      <c r="AK187" s="176"/>
      <c r="AL187" s="176"/>
      <c r="AM187" s="176"/>
      <c r="AN187" s="176"/>
      <c r="AO187" s="176"/>
      <c r="AP187" s="176"/>
      <c r="AQ187" s="176"/>
    </row>
    <row r="188" spans="1:43" s="168" customFormat="1">
      <c r="A188" s="178"/>
      <c r="B188" s="178"/>
      <c r="C188" s="178"/>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E188" s="169"/>
      <c r="AF188" s="179"/>
      <c r="AG188" s="179"/>
      <c r="AH188" s="176"/>
      <c r="AI188" s="176"/>
      <c r="AJ188" s="176"/>
      <c r="AK188" s="176"/>
      <c r="AL188" s="176"/>
      <c r="AM188" s="176"/>
      <c r="AN188" s="176"/>
      <c r="AO188" s="176"/>
      <c r="AP188" s="176"/>
      <c r="AQ188" s="176"/>
    </row>
    <row r="189" spans="1:43" s="168" customFormat="1">
      <c r="A189" s="178"/>
      <c r="B189" s="178"/>
      <c r="C189" s="178"/>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E189" s="169"/>
      <c r="AF189" s="179"/>
      <c r="AG189" s="179"/>
      <c r="AH189" s="176"/>
      <c r="AI189" s="176"/>
      <c r="AJ189" s="176"/>
      <c r="AK189" s="176"/>
      <c r="AL189" s="176"/>
      <c r="AM189" s="176"/>
      <c r="AN189" s="176"/>
      <c r="AO189" s="176"/>
      <c r="AP189" s="176"/>
      <c r="AQ189" s="176"/>
    </row>
    <row r="190" spans="1:43" s="168" customFormat="1">
      <c r="A190" s="178"/>
      <c r="B190" s="178"/>
      <c r="C190" s="178"/>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E190" s="169"/>
      <c r="AF190" s="179"/>
      <c r="AG190" s="179"/>
      <c r="AH190" s="176"/>
      <c r="AI190" s="176"/>
      <c r="AJ190" s="176"/>
      <c r="AK190" s="176"/>
      <c r="AL190" s="176"/>
      <c r="AM190" s="176"/>
      <c r="AN190" s="176"/>
      <c r="AO190" s="176"/>
      <c r="AP190" s="176"/>
      <c r="AQ190" s="176"/>
    </row>
    <row r="191" spans="1:43" s="168" customFormat="1">
      <c r="A191" s="178"/>
      <c r="B191" s="178"/>
      <c r="C191" s="178"/>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E191" s="169"/>
      <c r="AF191" s="179"/>
      <c r="AG191" s="179"/>
      <c r="AH191" s="176"/>
      <c r="AI191" s="176"/>
      <c r="AJ191" s="176"/>
      <c r="AK191" s="176"/>
      <c r="AL191" s="176"/>
      <c r="AM191" s="176"/>
      <c r="AN191" s="176"/>
      <c r="AO191" s="176"/>
      <c r="AP191" s="176"/>
      <c r="AQ191" s="176"/>
    </row>
    <row r="192" spans="1:43" s="168" customFormat="1">
      <c r="A192" s="178"/>
      <c r="B192" s="178"/>
      <c r="C192" s="178"/>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E192" s="169"/>
      <c r="AF192" s="179"/>
      <c r="AG192" s="179"/>
      <c r="AH192" s="176"/>
      <c r="AI192" s="176"/>
      <c r="AJ192" s="176"/>
      <c r="AK192" s="176"/>
      <c r="AL192" s="176"/>
      <c r="AM192" s="176"/>
      <c r="AN192" s="176"/>
      <c r="AO192" s="176"/>
      <c r="AP192" s="176"/>
      <c r="AQ192" s="176"/>
    </row>
    <row r="193" spans="1:43" s="168" customFormat="1">
      <c r="A193" s="178"/>
      <c r="B193" s="178"/>
      <c r="C193" s="178"/>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E193" s="169"/>
      <c r="AF193" s="179"/>
      <c r="AG193" s="179"/>
      <c r="AH193" s="176"/>
      <c r="AI193" s="176"/>
      <c r="AJ193" s="176"/>
      <c r="AK193" s="176"/>
      <c r="AL193" s="176"/>
      <c r="AM193" s="176"/>
      <c r="AN193" s="176"/>
      <c r="AO193" s="176"/>
      <c r="AP193" s="176"/>
      <c r="AQ193" s="176"/>
    </row>
    <row r="194" spans="1:43" s="168" customFormat="1">
      <c r="A194" s="178"/>
      <c r="B194" s="178"/>
      <c r="C194" s="178"/>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E194" s="169"/>
      <c r="AF194" s="179"/>
      <c r="AG194" s="179"/>
      <c r="AH194" s="176"/>
      <c r="AI194" s="176"/>
      <c r="AJ194" s="176"/>
      <c r="AK194" s="176"/>
      <c r="AL194" s="176"/>
      <c r="AM194" s="176"/>
      <c r="AN194" s="176"/>
      <c r="AO194" s="176"/>
      <c r="AP194" s="176"/>
      <c r="AQ194" s="176"/>
    </row>
    <row r="195" spans="1:43" s="168" customFormat="1">
      <c r="A195" s="178"/>
      <c r="B195" s="178"/>
      <c r="C195" s="178"/>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E195" s="169"/>
      <c r="AF195" s="179"/>
      <c r="AG195" s="179"/>
      <c r="AH195" s="176"/>
      <c r="AI195" s="176"/>
      <c r="AJ195" s="176"/>
      <c r="AK195" s="176"/>
      <c r="AL195" s="176"/>
      <c r="AM195" s="176"/>
      <c r="AN195" s="176"/>
      <c r="AO195" s="176"/>
      <c r="AP195" s="176"/>
      <c r="AQ195" s="176"/>
    </row>
    <row r="196" spans="1:43" s="168" customFormat="1">
      <c r="A196" s="178"/>
      <c r="B196" s="178"/>
      <c r="C196" s="178"/>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E196" s="169"/>
      <c r="AF196" s="179"/>
      <c r="AG196" s="179"/>
      <c r="AH196" s="176"/>
      <c r="AI196" s="176"/>
      <c r="AJ196" s="176"/>
      <c r="AK196" s="176"/>
      <c r="AL196" s="176"/>
      <c r="AM196" s="176"/>
      <c r="AN196" s="176"/>
      <c r="AO196" s="176"/>
      <c r="AP196" s="176"/>
      <c r="AQ196" s="176"/>
    </row>
    <row r="197" spans="1:43" s="168" customFormat="1">
      <c r="A197" s="178"/>
      <c r="B197" s="178"/>
      <c r="C197" s="178"/>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E197" s="169"/>
      <c r="AF197" s="179"/>
      <c r="AG197" s="179"/>
      <c r="AH197" s="176"/>
      <c r="AI197" s="176"/>
      <c r="AJ197" s="176"/>
      <c r="AK197" s="176"/>
      <c r="AL197" s="176"/>
      <c r="AM197" s="176"/>
      <c r="AN197" s="176"/>
      <c r="AO197" s="176"/>
      <c r="AP197" s="176"/>
      <c r="AQ197" s="176"/>
    </row>
    <row r="198" spans="1:43" s="168" customFormat="1">
      <c r="A198" s="178"/>
      <c r="B198" s="178"/>
      <c r="C198" s="178"/>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E198" s="169"/>
      <c r="AF198" s="179"/>
      <c r="AG198" s="179"/>
      <c r="AH198" s="176"/>
      <c r="AI198" s="176"/>
      <c r="AJ198" s="176"/>
      <c r="AK198" s="176"/>
      <c r="AL198" s="176"/>
      <c r="AM198" s="176"/>
      <c r="AN198" s="176"/>
      <c r="AO198" s="176"/>
      <c r="AP198" s="176"/>
      <c r="AQ198" s="176"/>
    </row>
    <row r="199" spans="1:43" s="168" customFormat="1">
      <c r="A199" s="178"/>
      <c r="B199" s="178"/>
      <c r="C199" s="178"/>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E199" s="169"/>
      <c r="AF199" s="179"/>
      <c r="AG199" s="179"/>
      <c r="AH199" s="176"/>
      <c r="AI199" s="176"/>
      <c r="AJ199" s="176"/>
      <c r="AK199" s="176"/>
      <c r="AL199" s="176"/>
      <c r="AM199" s="176"/>
      <c r="AN199" s="176"/>
      <c r="AO199" s="176"/>
      <c r="AP199" s="176"/>
      <c r="AQ199" s="176"/>
    </row>
    <row r="200" spans="1:43" s="168" customFormat="1">
      <c r="A200" s="178"/>
      <c r="B200" s="178"/>
      <c r="C200" s="178"/>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E200" s="169"/>
      <c r="AF200" s="179"/>
      <c r="AG200" s="179"/>
      <c r="AH200" s="176"/>
      <c r="AI200" s="176"/>
      <c r="AJ200" s="176"/>
      <c r="AK200" s="176"/>
      <c r="AL200" s="176"/>
      <c r="AM200" s="176"/>
      <c r="AN200" s="176"/>
      <c r="AO200" s="176"/>
      <c r="AP200" s="176"/>
      <c r="AQ200" s="176"/>
    </row>
    <row r="201" spans="1:43" s="168" customFormat="1">
      <c r="A201" s="178"/>
      <c r="B201" s="178"/>
      <c r="C201" s="178"/>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E201" s="169"/>
      <c r="AF201" s="179"/>
      <c r="AG201" s="179"/>
      <c r="AH201" s="176"/>
      <c r="AI201" s="176"/>
      <c r="AJ201" s="176"/>
      <c r="AK201" s="176"/>
      <c r="AL201" s="176"/>
      <c r="AM201" s="176"/>
      <c r="AN201" s="176"/>
      <c r="AO201" s="176"/>
      <c r="AP201" s="176"/>
      <c r="AQ201" s="176"/>
    </row>
    <row r="202" spans="1:43" s="168" customFormat="1">
      <c r="A202" s="178"/>
      <c r="B202" s="178"/>
      <c r="C202" s="178"/>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E202" s="169"/>
      <c r="AF202" s="179"/>
      <c r="AG202" s="179"/>
      <c r="AH202" s="176"/>
      <c r="AI202" s="176"/>
      <c r="AJ202" s="176"/>
      <c r="AK202" s="176"/>
      <c r="AL202" s="176"/>
      <c r="AM202" s="176"/>
      <c r="AN202" s="176"/>
      <c r="AO202" s="176"/>
      <c r="AP202" s="176"/>
      <c r="AQ202" s="176"/>
    </row>
    <row r="203" spans="1:43" s="168" customFormat="1">
      <c r="A203" s="178"/>
      <c r="B203" s="178"/>
      <c r="C203" s="178"/>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E203" s="169"/>
      <c r="AF203" s="179"/>
      <c r="AG203" s="179"/>
      <c r="AH203" s="176"/>
      <c r="AI203" s="176"/>
      <c r="AJ203" s="176"/>
      <c r="AK203" s="176"/>
      <c r="AL203" s="176"/>
      <c r="AM203" s="176"/>
      <c r="AN203" s="176"/>
      <c r="AO203" s="176"/>
      <c r="AP203" s="176"/>
      <c r="AQ203" s="176"/>
    </row>
    <row r="204" spans="1:43" s="168" customFormat="1">
      <c r="A204" s="178"/>
      <c r="B204" s="178"/>
      <c r="C204" s="178"/>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E204" s="169"/>
      <c r="AF204" s="179"/>
      <c r="AG204" s="179"/>
      <c r="AH204" s="176"/>
      <c r="AI204" s="176"/>
      <c r="AJ204" s="176"/>
      <c r="AK204" s="176"/>
      <c r="AL204" s="176"/>
      <c r="AM204" s="176"/>
      <c r="AN204" s="176"/>
      <c r="AO204" s="176"/>
      <c r="AP204" s="176"/>
      <c r="AQ204" s="176"/>
    </row>
    <row r="205" spans="1:43" s="168" customFormat="1">
      <c r="A205" s="178"/>
      <c r="B205" s="178"/>
      <c r="C205" s="178"/>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E205" s="169"/>
      <c r="AF205" s="179"/>
      <c r="AG205" s="179"/>
      <c r="AH205" s="176"/>
      <c r="AI205" s="176"/>
      <c r="AJ205" s="176"/>
      <c r="AK205" s="176"/>
      <c r="AL205" s="176"/>
      <c r="AM205" s="176"/>
      <c r="AN205" s="176"/>
      <c r="AO205" s="176"/>
      <c r="AP205" s="176"/>
      <c r="AQ205" s="176"/>
    </row>
    <row r="206" spans="1:43" s="168" customFormat="1">
      <c r="A206" s="178"/>
      <c r="B206" s="178"/>
      <c r="C206" s="178"/>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E206" s="169"/>
      <c r="AF206" s="179"/>
      <c r="AG206" s="179"/>
      <c r="AH206" s="176"/>
      <c r="AI206" s="176"/>
      <c r="AJ206" s="176"/>
      <c r="AK206" s="176"/>
      <c r="AL206" s="176"/>
      <c r="AM206" s="176"/>
      <c r="AN206" s="176"/>
      <c r="AO206" s="176"/>
      <c r="AP206" s="176"/>
      <c r="AQ206" s="176"/>
    </row>
    <row r="207" spans="1:43" s="168" customFormat="1">
      <c r="A207" s="178"/>
      <c r="B207" s="178"/>
      <c r="C207" s="178"/>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E207" s="169"/>
      <c r="AF207" s="179"/>
      <c r="AG207" s="179"/>
      <c r="AH207" s="176"/>
      <c r="AI207" s="176"/>
      <c r="AJ207" s="176"/>
      <c r="AK207" s="176"/>
      <c r="AL207" s="176"/>
      <c r="AM207" s="176"/>
      <c r="AN207" s="176"/>
      <c r="AO207" s="176"/>
      <c r="AP207" s="176"/>
      <c r="AQ207" s="176"/>
    </row>
    <row r="208" spans="1:43" s="168" customFormat="1">
      <c r="A208" s="178"/>
      <c r="B208" s="178"/>
      <c r="C208" s="178"/>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E208" s="169"/>
      <c r="AF208" s="179"/>
      <c r="AG208" s="179"/>
      <c r="AH208" s="176"/>
      <c r="AI208" s="176"/>
      <c r="AJ208" s="176"/>
      <c r="AK208" s="176"/>
      <c r="AL208" s="176"/>
      <c r="AM208" s="176"/>
      <c r="AN208" s="176"/>
      <c r="AO208" s="176"/>
      <c r="AP208" s="176"/>
      <c r="AQ208" s="176"/>
    </row>
    <row r="209" spans="1:43" s="168" customFormat="1">
      <c r="A209" s="178"/>
      <c r="B209" s="178"/>
      <c r="C209" s="178"/>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E209" s="169"/>
      <c r="AF209" s="179"/>
      <c r="AG209" s="179"/>
      <c r="AH209" s="176"/>
      <c r="AI209" s="176"/>
      <c r="AJ209" s="176"/>
      <c r="AK209" s="176"/>
      <c r="AL209" s="176"/>
      <c r="AM209" s="176"/>
      <c r="AN209" s="176"/>
      <c r="AO209" s="176"/>
      <c r="AP209" s="176"/>
      <c r="AQ209" s="176"/>
    </row>
    <row r="210" spans="1:43" s="168" customFormat="1">
      <c r="A210" s="178"/>
      <c r="B210" s="178"/>
      <c r="C210" s="178"/>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E210" s="169"/>
      <c r="AF210" s="179"/>
      <c r="AG210" s="179"/>
      <c r="AH210" s="176"/>
      <c r="AI210" s="176"/>
      <c r="AJ210" s="176"/>
      <c r="AK210" s="176"/>
      <c r="AL210" s="176"/>
      <c r="AM210" s="176"/>
      <c r="AN210" s="176"/>
      <c r="AO210" s="176"/>
      <c r="AP210" s="176"/>
      <c r="AQ210" s="176"/>
    </row>
    <row r="211" spans="1:43" s="168" customFormat="1">
      <c r="A211" s="178"/>
      <c r="B211" s="178"/>
      <c r="C211" s="178"/>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E211" s="169"/>
      <c r="AF211" s="179"/>
      <c r="AG211" s="179"/>
      <c r="AH211" s="176"/>
      <c r="AI211" s="176"/>
      <c r="AJ211" s="176"/>
      <c r="AK211" s="176"/>
      <c r="AL211" s="176"/>
      <c r="AM211" s="176"/>
      <c r="AN211" s="176"/>
      <c r="AO211" s="176"/>
      <c r="AP211" s="176"/>
      <c r="AQ211" s="176"/>
    </row>
    <row r="212" spans="1:43" s="168" customFormat="1">
      <c r="A212" s="178"/>
      <c r="B212" s="178"/>
      <c r="C212" s="178"/>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E212" s="169"/>
      <c r="AF212" s="179"/>
      <c r="AG212" s="179"/>
      <c r="AH212" s="176"/>
      <c r="AI212" s="176"/>
      <c r="AJ212" s="176"/>
      <c r="AK212" s="176"/>
      <c r="AL212" s="176"/>
      <c r="AM212" s="176"/>
      <c r="AN212" s="176"/>
      <c r="AO212" s="176"/>
      <c r="AP212" s="176"/>
      <c r="AQ212" s="176"/>
    </row>
    <row r="213" spans="1:43" s="168" customFormat="1">
      <c r="A213" s="178"/>
      <c r="B213" s="178"/>
      <c r="C213" s="178"/>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E213" s="169"/>
      <c r="AF213" s="179"/>
      <c r="AG213" s="179"/>
      <c r="AH213" s="176"/>
      <c r="AI213" s="176"/>
      <c r="AJ213" s="176"/>
      <c r="AK213" s="176"/>
      <c r="AL213" s="176"/>
      <c r="AM213" s="176"/>
      <c r="AN213" s="176"/>
      <c r="AO213" s="176"/>
      <c r="AP213" s="176"/>
      <c r="AQ213" s="176"/>
    </row>
    <row r="214" spans="1:43" s="168" customFormat="1">
      <c r="A214" s="178"/>
      <c r="B214" s="178"/>
      <c r="C214" s="178"/>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E214" s="169"/>
      <c r="AF214" s="179"/>
      <c r="AG214" s="179"/>
      <c r="AH214" s="176"/>
      <c r="AI214" s="176"/>
      <c r="AJ214" s="176"/>
      <c r="AK214" s="176"/>
      <c r="AL214" s="176"/>
      <c r="AM214" s="176"/>
      <c r="AN214" s="176"/>
      <c r="AO214" s="176"/>
      <c r="AP214" s="176"/>
      <c r="AQ214" s="176"/>
    </row>
    <row r="215" spans="1:43" s="168" customFormat="1">
      <c r="A215" s="178"/>
      <c r="B215" s="178"/>
      <c r="C215" s="178"/>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E215" s="169"/>
      <c r="AF215" s="179"/>
      <c r="AG215" s="179"/>
      <c r="AH215" s="176"/>
      <c r="AI215" s="176"/>
      <c r="AJ215" s="176"/>
      <c r="AK215" s="176"/>
      <c r="AL215" s="176"/>
      <c r="AM215" s="176"/>
      <c r="AN215" s="176"/>
      <c r="AO215" s="176"/>
      <c r="AP215" s="176"/>
      <c r="AQ215" s="176"/>
    </row>
    <row r="216" spans="1:43" s="168" customFormat="1">
      <c r="A216" s="178"/>
      <c r="B216" s="178"/>
      <c r="C216" s="178"/>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E216" s="169"/>
      <c r="AF216" s="179"/>
      <c r="AG216" s="179"/>
      <c r="AH216" s="176"/>
      <c r="AI216" s="176"/>
      <c r="AJ216" s="176"/>
      <c r="AK216" s="176"/>
      <c r="AL216" s="176"/>
      <c r="AM216" s="176"/>
      <c r="AN216" s="176"/>
      <c r="AO216" s="176"/>
      <c r="AP216" s="176"/>
      <c r="AQ216" s="176"/>
    </row>
    <row r="217" spans="1:43" s="168" customFormat="1">
      <c r="A217" s="178"/>
      <c r="B217" s="178"/>
      <c r="C217" s="178"/>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E217" s="169"/>
      <c r="AF217" s="179"/>
      <c r="AG217" s="179"/>
      <c r="AH217" s="176"/>
      <c r="AI217" s="176"/>
      <c r="AJ217" s="176"/>
      <c r="AK217" s="176"/>
      <c r="AL217" s="176"/>
      <c r="AM217" s="176"/>
      <c r="AN217" s="176"/>
      <c r="AO217" s="176"/>
      <c r="AP217" s="176"/>
      <c r="AQ217" s="176"/>
    </row>
    <row r="218" spans="1:43" s="168" customFormat="1">
      <c r="A218" s="178"/>
      <c r="B218" s="178"/>
      <c r="C218" s="178"/>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E218" s="169"/>
      <c r="AF218" s="179"/>
      <c r="AG218" s="179"/>
      <c r="AH218" s="176"/>
      <c r="AI218" s="176"/>
      <c r="AJ218" s="176"/>
      <c r="AK218" s="176"/>
      <c r="AL218" s="176"/>
      <c r="AM218" s="176"/>
      <c r="AN218" s="176"/>
      <c r="AO218" s="176"/>
      <c r="AP218" s="176"/>
      <c r="AQ218" s="176"/>
    </row>
    <row r="219" spans="1:43" s="168" customFormat="1">
      <c r="A219" s="178"/>
      <c r="B219" s="178"/>
      <c r="C219" s="178"/>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E219" s="169"/>
      <c r="AF219" s="179"/>
      <c r="AG219" s="179"/>
      <c r="AH219" s="176"/>
      <c r="AI219" s="176"/>
      <c r="AJ219" s="176"/>
      <c r="AK219" s="176"/>
      <c r="AL219" s="176"/>
      <c r="AM219" s="176"/>
      <c r="AN219" s="176"/>
      <c r="AO219" s="176"/>
      <c r="AP219" s="176"/>
      <c r="AQ219" s="176"/>
    </row>
    <row r="220" spans="1:43" s="168" customFormat="1">
      <c r="A220" s="178"/>
      <c r="B220" s="178"/>
      <c r="C220" s="178"/>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E220" s="169"/>
      <c r="AF220" s="179"/>
      <c r="AG220" s="179"/>
      <c r="AH220" s="176"/>
      <c r="AI220" s="176"/>
      <c r="AJ220" s="176"/>
      <c r="AK220" s="176"/>
      <c r="AL220" s="176"/>
      <c r="AM220" s="176"/>
      <c r="AN220" s="176"/>
      <c r="AO220" s="176"/>
      <c r="AP220" s="176"/>
      <c r="AQ220" s="176"/>
    </row>
    <row r="221" spans="1:43" s="168" customFormat="1">
      <c r="A221" s="178"/>
      <c r="B221" s="178"/>
      <c r="C221" s="178"/>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E221" s="169"/>
      <c r="AF221" s="179"/>
      <c r="AG221" s="179"/>
      <c r="AH221" s="176"/>
      <c r="AI221" s="176"/>
      <c r="AJ221" s="176"/>
      <c r="AK221" s="176"/>
      <c r="AL221" s="176"/>
      <c r="AM221" s="176"/>
      <c r="AN221" s="176"/>
      <c r="AO221" s="176"/>
      <c r="AP221" s="176"/>
      <c r="AQ221" s="176"/>
    </row>
    <row r="222" spans="1:43" s="168" customFormat="1">
      <c r="A222" s="178"/>
      <c r="B222" s="178"/>
      <c r="C222" s="178"/>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E222" s="169"/>
      <c r="AF222" s="179"/>
      <c r="AG222" s="179"/>
      <c r="AH222" s="176"/>
      <c r="AI222" s="176"/>
      <c r="AJ222" s="176"/>
      <c r="AK222" s="176"/>
      <c r="AL222" s="176"/>
      <c r="AM222" s="176"/>
      <c r="AN222" s="176"/>
      <c r="AO222" s="176"/>
      <c r="AP222" s="176"/>
      <c r="AQ222" s="176"/>
    </row>
    <row r="223" spans="1:43" s="168" customFormat="1">
      <c r="A223" s="178"/>
      <c r="B223" s="178"/>
      <c r="C223" s="178"/>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E223" s="169"/>
      <c r="AF223" s="179"/>
      <c r="AG223" s="179"/>
      <c r="AH223" s="176"/>
      <c r="AI223" s="176"/>
      <c r="AJ223" s="176"/>
      <c r="AK223" s="176"/>
      <c r="AL223" s="176"/>
      <c r="AM223" s="176"/>
      <c r="AN223" s="176"/>
      <c r="AO223" s="176"/>
      <c r="AP223" s="176"/>
      <c r="AQ223" s="176"/>
    </row>
    <row r="224" spans="1:43" s="168" customFormat="1">
      <c r="A224" s="178"/>
      <c r="B224" s="178"/>
      <c r="C224" s="178"/>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E224" s="169"/>
      <c r="AF224" s="179"/>
      <c r="AG224" s="179"/>
      <c r="AH224" s="176"/>
      <c r="AI224" s="176"/>
      <c r="AJ224" s="176"/>
      <c r="AK224" s="176"/>
      <c r="AL224" s="176"/>
      <c r="AM224" s="176"/>
      <c r="AN224" s="176"/>
      <c r="AO224" s="176"/>
      <c r="AP224" s="176"/>
      <c r="AQ224" s="176"/>
    </row>
    <row r="225" spans="1:43" s="168" customFormat="1">
      <c r="A225" s="178"/>
      <c r="B225" s="178"/>
      <c r="C225" s="178"/>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E225" s="169"/>
      <c r="AF225" s="179"/>
      <c r="AG225" s="179"/>
      <c r="AH225" s="176"/>
      <c r="AI225" s="176"/>
      <c r="AJ225" s="176"/>
      <c r="AK225" s="176"/>
      <c r="AL225" s="176"/>
      <c r="AM225" s="176"/>
      <c r="AN225" s="176"/>
      <c r="AO225" s="176"/>
      <c r="AP225" s="176"/>
      <c r="AQ225" s="176"/>
    </row>
    <row r="226" spans="1:43" s="168" customFormat="1">
      <c r="A226" s="178"/>
      <c r="B226" s="178"/>
      <c r="C226" s="178"/>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E226" s="169"/>
      <c r="AF226" s="179"/>
      <c r="AG226" s="179"/>
      <c r="AH226" s="176"/>
      <c r="AI226" s="176"/>
      <c r="AJ226" s="176"/>
      <c r="AK226" s="176"/>
      <c r="AL226" s="176"/>
      <c r="AM226" s="176"/>
      <c r="AN226" s="176"/>
      <c r="AO226" s="176"/>
      <c r="AP226" s="176"/>
      <c r="AQ226" s="176"/>
    </row>
    <row r="227" spans="1:43" s="168" customFormat="1">
      <c r="A227" s="178"/>
      <c r="B227" s="178"/>
      <c r="C227" s="178"/>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E227" s="169"/>
      <c r="AF227" s="179"/>
      <c r="AG227" s="179"/>
      <c r="AH227" s="176"/>
      <c r="AI227" s="176"/>
      <c r="AJ227" s="176"/>
      <c r="AK227" s="176"/>
      <c r="AL227" s="176"/>
      <c r="AM227" s="176"/>
      <c r="AN227" s="176"/>
      <c r="AO227" s="176"/>
      <c r="AP227" s="176"/>
      <c r="AQ227" s="176"/>
    </row>
    <row r="228" spans="1:43" s="168" customFormat="1">
      <c r="A228" s="178"/>
      <c r="B228" s="178"/>
      <c r="C228" s="178"/>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E228" s="169"/>
      <c r="AF228" s="179"/>
      <c r="AG228" s="179"/>
      <c r="AH228" s="176"/>
      <c r="AI228" s="176"/>
      <c r="AJ228" s="176"/>
      <c r="AK228" s="176"/>
      <c r="AL228" s="176"/>
      <c r="AM228" s="176"/>
      <c r="AN228" s="176"/>
      <c r="AO228" s="176"/>
      <c r="AP228" s="176"/>
      <c r="AQ228" s="176"/>
    </row>
    <row r="229" spans="1:43" s="168" customFormat="1">
      <c r="A229" s="178"/>
      <c r="B229" s="178"/>
      <c r="C229" s="178"/>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E229" s="169"/>
      <c r="AF229" s="179"/>
      <c r="AG229" s="179"/>
      <c r="AH229" s="176"/>
      <c r="AI229" s="176"/>
      <c r="AJ229" s="176"/>
      <c r="AK229" s="176"/>
      <c r="AL229" s="176"/>
      <c r="AM229" s="176"/>
      <c r="AN229" s="176"/>
      <c r="AO229" s="176"/>
      <c r="AP229" s="176"/>
      <c r="AQ229" s="176"/>
    </row>
    <row r="230" spans="1:43" s="168" customFormat="1">
      <c r="A230" s="178"/>
      <c r="B230" s="178"/>
      <c r="C230" s="178"/>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E230" s="169"/>
      <c r="AF230" s="179"/>
      <c r="AG230" s="179"/>
      <c r="AH230" s="176"/>
      <c r="AI230" s="176"/>
      <c r="AJ230" s="176"/>
      <c r="AK230" s="176"/>
      <c r="AL230" s="176"/>
      <c r="AM230" s="176"/>
      <c r="AN230" s="176"/>
      <c r="AO230" s="176"/>
      <c r="AP230" s="176"/>
      <c r="AQ230" s="176"/>
    </row>
    <row r="231" spans="1:43" s="168" customFormat="1">
      <c r="A231" s="178"/>
      <c r="B231" s="178"/>
      <c r="C231" s="178"/>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E231" s="169"/>
      <c r="AF231" s="179"/>
      <c r="AG231" s="179"/>
      <c r="AH231" s="176"/>
      <c r="AI231" s="176"/>
      <c r="AJ231" s="176"/>
      <c r="AK231" s="176"/>
      <c r="AL231" s="176"/>
      <c r="AM231" s="176"/>
      <c r="AN231" s="176"/>
      <c r="AO231" s="176"/>
      <c r="AP231" s="176"/>
      <c r="AQ231" s="176"/>
    </row>
    <row r="232" spans="1:43" s="168" customFormat="1">
      <c r="A232" s="178"/>
      <c r="B232" s="178"/>
      <c r="C232" s="178"/>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E232" s="169"/>
      <c r="AF232" s="179"/>
      <c r="AG232" s="179"/>
      <c r="AH232" s="176"/>
      <c r="AI232" s="176"/>
      <c r="AJ232" s="176"/>
      <c r="AK232" s="176"/>
      <c r="AL232" s="176"/>
      <c r="AM232" s="176"/>
      <c r="AN232" s="176"/>
      <c r="AO232" s="176"/>
      <c r="AP232" s="176"/>
      <c r="AQ232" s="176"/>
    </row>
    <row r="233" spans="1:43" s="168" customFormat="1">
      <c r="A233" s="178"/>
      <c r="B233" s="178"/>
      <c r="C233" s="178"/>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E233" s="169"/>
      <c r="AF233" s="179"/>
      <c r="AG233" s="179"/>
      <c r="AH233" s="176"/>
      <c r="AI233" s="176"/>
      <c r="AJ233" s="176"/>
      <c r="AK233" s="176"/>
      <c r="AL233" s="176"/>
      <c r="AM233" s="176"/>
      <c r="AN233" s="176"/>
      <c r="AO233" s="176"/>
      <c r="AP233" s="176"/>
      <c r="AQ233" s="176"/>
    </row>
    <row r="234" spans="1:43" s="168" customFormat="1">
      <c r="A234" s="178"/>
      <c r="B234" s="178"/>
      <c r="C234" s="178"/>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E234" s="169"/>
      <c r="AF234" s="179"/>
      <c r="AG234" s="179"/>
      <c r="AH234" s="176"/>
      <c r="AI234" s="176"/>
      <c r="AJ234" s="176"/>
      <c r="AK234" s="176"/>
      <c r="AL234" s="176"/>
      <c r="AM234" s="176"/>
      <c r="AN234" s="176"/>
      <c r="AO234" s="176"/>
      <c r="AP234" s="176"/>
      <c r="AQ234" s="176"/>
    </row>
    <row r="235" spans="1:43" s="168" customFormat="1">
      <c r="A235" s="178"/>
      <c r="B235" s="178"/>
      <c r="C235" s="178"/>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E235" s="169"/>
      <c r="AF235" s="179"/>
      <c r="AG235" s="179"/>
      <c r="AH235" s="176"/>
      <c r="AI235" s="176"/>
      <c r="AJ235" s="176"/>
      <c r="AK235" s="176"/>
      <c r="AL235" s="176"/>
      <c r="AM235" s="176"/>
      <c r="AN235" s="176"/>
      <c r="AO235" s="176"/>
      <c r="AP235" s="176"/>
      <c r="AQ235" s="176"/>
    </row>
    <row r="236" spans="1:43" s="168" customFormat="1">
      <c r="A236" s="178"/>
      <c r="B236" s="178"/>
      <c r="C236" s="178"/>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E236" s="169"/>
      <c r="AF236" s="179"/>
      <c r="AG236" s="179"/>
      <c r="AH236" s="176"/>
      <c r="AI236" s="176"/>
      <c r="AJ236" s="176"/>
      <c r="AK236" s="176"/>
      <c r="AL236" s="176"/>
      <c r="AM236" s="176"/>
      <c r="AN236" s="176"/>
      <c r="AO236" s="176"/>
      <c r="AP236" s="176"/>
      <c r="AQ236" s="176"/>
    </row>
    <row r="237" spans="1:43" s="168" customFormat="1">
      <c r="A237" s="178"/>
      <c r="B237" s="178"/>
      <c r="C237" s="178"/>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E237" s="169"/>
      <c r="AF237" s="179"/>
      <c r="AG237" s="179"/>
      <c r="AH237" s="176"/>
      <c r="AI237" s="176"/>
      <c r="AJ237" s="176"/>
      <c r="AK237" s="176"/>
      <c r="AL237" s="176"/>
      <c r="AM237" s="176"/>
      <c r="AN237" s="176"/>
      <c r="AO237" s="176"/>
      <c r="AP237" s="176"/>
      <c r="AQ237" s="176"/>
    </row>
    <row r="238" spans="1:43" s="168" customFormat="1">
      <c r="A238" s="178"/>
      <c r="B238" s="178"/>
      <c r="C238" s="178"/>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E238" s="169"/>
      <c r="AF238" s="179"/>
      <c r="AG238" s="179"/>
      <c r="AH238" s="176"/>
      <c r="AI238" s="176"/>
      <c r="AJ238" s="176"/>
      <c r="AK238" s="176"/>
      <c r="AL238" s="176"/>
      <c r="AM238" s="176"/>
      <c r="AN238" s="176"/>
      <c r="AO238" s="176"/>
      <c r="AP238" s="176"/>
      <c r="AQ238" s="176"/>
    </row>
    <row r="239" spans="1:43" s="168" customFormat="1">
      <c r="A239" s="178"/>
      <c r="B239" s="178"/>
      <c r="C239" s="178"/>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E239" s="169"/>
      <c r="AF239" s="179"/>
      <c r="AG239" s="179"/>
      <c r="AH239" s="176"/>
      <c r="AI239" s="176"/>
      <c r="AJ239" s="176"/>
      <c r="AK239" s="176"/>
      <c r="AL239" s="176"/>
      <c r="AM239" s="176"/>
      <c r="AN239" s="176"/>
      <c r="AO239" s="176"/>
      <c r="AP239" s="176"/>
      <c r="AQ239" s="176"/>
    </row>
    <row r="240" spans="1:43" s="168" customFormat="1">
      <c r="A240" s="178"/>
      <c r="B240" s="178"/>
      <c r="C240" s="178"/>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E240" s="169"/>
      <c r="AF240" s="179"/>
      <c r="AG240" s="179"/>
      <c r="AH240" s="176"/>
      <c r="AI240" s="176"/>
      <c r="AJ240" s="176"/>
      <c r="AK240" s="176"/>
      <c r="AL240" s="176"/>
      <c r="AM240" s="176"/>
      <c r="AN240" s="176"/>
      <c r="AO240" s="176"/>
      <c r="AP240" s="176"/>
      <c r="AQ240" s="176"/>
    </row>
    <row r="241" spans="1:43" s="168" customFormat="1">
      <c r="A241" s="178"/>
      <c r="B241" s="178"/>
      <c r="C241" s="178"/>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E241" s="169"/>
      <c r="AF241" s="179"/>
      <c r="AG241" s="179"/>
      <c r="AH241" s="176"/>
      <c r="AI241" s="176"/>
      <c r="AJ241" s="176"/>
      <c r="AK241" s="176"/>
      <c r="AL241" s="176"/>
      <c r="AM241" s="176"/>
      <c r="AN241" s="176"/>
      <c r="AO241" s="176"/>
      <c r="AP241" s="176"/>
      <c r="AQ241" s="176"/>
    </row>
    <row r="242" spans="1:43" s="168" customFormat="1">
      <c r="A242" s="178"/>
      <c r="B242" s="178"/>
      <c r="C242" s="178"/>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E242" s="169"/>
      <c r="AF242" s="179"/>
      <c r="AG242" s="179"/>
      <c r="AH242" s="176"/>
      <c r="AI242" s="176"/>
      <c r="AJ242" s="176"/>
      <c r="AK242" s="176"/>
      <c r="AL242" s="176"/>
      <c r="AM242" s="176"/>
      <c r="AN242" s="176"/>
      <c r="AO242" s="176"/>
      <c r="AP242" s="176"/>
      <c r="AQ242" s="176"/>
    </row>
    <row r="243" spans="1:43" s="168" customFormat="1">
      <c r="A243" s="178"/>
      <c r="B243" s="178"/>
      <c r="C243" s="178"/>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E243" s="169"/>
      <c r="AF243" s="179"/>
      <c r="AG243" s="179"/>
      <c r="AH243" s="176"/>
      <c r="AI243" s="176"/>
      <c r="AJ243" s="176"/>
      <c r="AK243" s="176"/>
      <c r="AL243" s="176"/>
      <c r="AM243" s="176"/>
      <c r="AN243" s="176"/>
      <c r="AO243" s="176"/>
      <c r="AP243" s="176"/>
      <c r="AQ243" s="176"/>
    </row>
    <row r="244" spans="1:43" s="168" customFormat="1">
      <c r="A244" s="178"/>
      <c r="B244" s="178"/>
      <c r="C244" s="178"/>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E244" s="169"/>
      <c r="AF244" s="179"/>
      <c r="AG244" s="179"/>
      <c r="AH244" s="176"/>
      <c r="AI244" s="176"/>
      <c r="AJ244" s="176"/>
      <c r="AK244" s="176"/>
      <c r="AL244" s="176"/>
      <c r="AM244" s="176"/>
      <c r="AN244" s="176"/>
      <c r="AO244" s="176"/>
      <c r="AP244" s="176"/>
      <c r="AQ244" s="176"/>
    </row>
    <row r="245" spans="1:43" s="168" customFormat="1">
      <c r="A245" s="178"/>
      <c r="B245" s="178"/>
      <c r="C245" s="178"/>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E245" s="169"/>
      <c r="AF245" s="179"/>
      <c r="AG245" s="179"/>
      <c r="AH245" s="176"/>
      <c r="AI245" s="176"/>
      <c r="AJ245" s="176"/>
      <c r="AK245" s="176"/>
      <c r="AL245" s="176"/>
      <c r="AM245" s="176"/>
      <c r="AN245" s="176"/>
      <c r="AO245" s="176"/>
      <c r="AP245" s="176"/>
      <c r="AQ245" s="176"/>
    </row>
    <row r="246" spans="1:43" s="168" customFormat="1">
      <c r="A246" s="178"/>
      <c r="B246" s="178"/>
      <c r="C246" s="178"/>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E246" s="169"/>
      <c r="AF246" s="179"/>
      <c r="AG246" s="179"/>
      <c r="AH246" s="176"/>
      <c r="AI246" s="176"/>
      <c r="AJ246" s="176"/>
      <c r="AK246" s="176"/>
      <c r="AL246" s="176"/>
      <c r="AM246" s="176"/>
      <c r="AN246" s="176"/>
      <c r="AO246" s="176"/>
      <c r="AP246" s="176"/>
      <c r="AQ246" s="176"/>
    </row>
    <row r="247" spans="1:43" s="168" customFormat="1">
      <c r="A247" s="178"/>
      <c r="B247" s="178"/>
      <c r="C247" s="178"/>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E247" s="169"/>
      <c r="AF247" s="179"/>
      <c r="AG247" s="179"/>
      <c r="AH247" s="176"/>
      <c r="AI247" s="176"/>
      <c r="AJ247" s="176"/>
      <c r="AK247" s="176"/>
      <c r="AL247" s="176"/>
      <c r="AM247" s="176"/>
      <c r="AN247" s="176"/>
      <c r="AO247" s="176"/>
      <c r="AP247" s="176"/>
      <c r="AQ247" s="176"/>
    </row>
    <row r="248" spans="1:43" s="168" customFormat="1">
      <c r="A248" s="178"/>
      <c r="B248" s="178"/>
      <c r="C248" s="178"/>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E248" s="169"/>
      <c r="AF248" s="179"/>
      <c r="AG248" s="179"/>
      <c r="AH248" s="176"/>
      <c r="AI248" s="176"/>
      <c r="AJ248" s="176"/>
      <c r="AK248" s="176"/>
      <c r="AL248" s="176"/>
      <c r="AM248" s="176"/>
      <c r="AN248" s="176"/>
      <c r="AO248" s="176"/>
      <c r="AP248" s="176"/>
      <c r="AQ248" s="176"/>
    </row>
    <row r="249" spans="1:43" s="168" customFormat="1">
      <c r="A249" s="178"/>
      <c r="B249" s="178"/>
      <c r="C249" s="178"/>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E249" s="169"/>
      <c r="AF249" s="179"/>
      <c r="AG249" s="179"/>
      <c r="AH249" s="176"/>
      <c r="AI249" s="176"/>
      <c r="AJ249" s="176"/>
      <c r="AK249" s="176"/>
      <c r="AL249" s="176"/>
      <c r="AM249" s="176"/>
      <c r="AN249" s="176"/>
      <c r="AO249" s="176"/>
      <c r="AP249" s="176"/>
      <c r="AQ249" s="176"/>
    </row>
    <row r="250" spans="1:43" s="168" customFormat="1">
      <c r="A250" s="178"/>
      <c r="B250" s="178"/>
      <c r="C250" s="178"/>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E250" s="169"/>
      <c r="AF250" s="179"/>
      <c r="AG250" s="179"/>
      <c r="AH250" s="176"/>
      <c r="AI250" s="176"/>
      <c r="AJ250" s="176"/>
      <c r="AK250" s="176"/>
      <c r="AL250" s="176"/>
      <c r="AM250" s="176"/>
      <c r="AN250" s="176"/>
      <c r="AO250" s="176"/>
      <c r="AP250" s="176"/>
      <c r="AQ250" s="176"/>
    </row>
    <row r="251" spans="1:43" s="168" customFormat="1">
      <c r="A251" s="178"/>
      <c r="B251" s="178"/>
      <c r="C251" s="178"/>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E251" s="169"/>
      <c r="AF251" s="179"/>
      <c r="AG251" s="179"/>
      <c r="AH251" s="176"/>
      <c r="AI251" s="176"/>
      <c r="AJ251" s="176"/>
      <c r="AK251" s="176"/>
      <c r="AL251" s="176"/>
      <c r="AM251" s="176"/>
      <c r="AN251" s="176"/>
      <c r="AO251" s="176"/>
      <c r="AP251" s="176"/>
      <c r="AQ251" s="176"/>
    </row>
    <row r="252" spans="1:43" s="168" customFormat="1">
      <c r="A252" s="178"/>
      <c r="B252" s="178"/>
      <c r="C252" s="178"/>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E252" s="169"/>
      <c r="AF252" s="179"/>
      <c r="AG252" s="179"/>
      <c r="AH252" s="176"/>
      <c r="AI252" s="176"/>
      <c r="AJ252" s="176"/>
      <c r="AK252" s="176"/>
      <c r="AL252" s="176"/>
      <c r="AM252" s="176"/>
      <c r="AN252" s="176"/>
      <c r="AO252" s="176"/>
      <c r="AP252" s="176"/>
      <c r="AQ252" s="176"/>
    </row>
    <row r="253" spans="1:43" s="168" customFormat="1">
      <c r="A253" s="178"/>
      <c r="B253" s="178"/>
      <c r="C253" s="178"/>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E253" s="169"/>
      <c r="AF253" s="179"/>
      <c r="AG253" s="179"/>
      <c r="AH253" s="176"/>
      <c r="AI253" s="176"/>
      <c r="AJ253" s="176"/>
      <c r="AK253" s="176"/>
      <c r="AL253" s="176"/>
      <c r="AM253" s="176"/>
      <c r="AN253" s="176"/>
      <c r="AO253" s="176"/>
      <c r="AP253" s="176"/>
      <c r="AQ253" s="176"/>
    </row>
    <row r="254" spans="1:43" s="168" customFormat="1">
      <c r="A254" s="178"/>
      <c r="B254" s="178"/>
      <c r="C254" s="178"/>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E254" s="169"/>
      <c r="AF254" s="179"/>
      <c r="AG254" s="179"/>
      <c r="AH254" s="176"/>
      <c r="AI254" s="176"/>
      <c r="AJ254" s="176"/>
      <c r="AK254" s="176"/>
      <c r="AL254" s="176"/>
      <c r="AM254" s="176"/>
      <c r="AN254" s="176"/>
      <c r="AO254" s="176"/>
      <c r="AP254" s="176"/>
      <c r="AQ254" s="176"/>
    </row>
    <row r="255" spans="1:43" s="168" customFormat="1">
      <c r="A255" s="178"/>
      <c r="B255" s="178"/>
      <c r="C255" s="178"/>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E255" s="169"/>
      <c r="AF255" s="179"/>
      <c r="AG255" s="179"/>
      <c r="AH255" s="176"/>
      <c r="AI255" s="176"/>
      <c r="AJ255" s="176"/>
      <c r="AK255" s="176"/>
      <c r="AL255" s="176"/>
      <c r="AM255" s="176"/>
      <c r="AN255" s="176"/>
      <c r="AO255" s="176"/>
      <c r="AP255" s="176"/>
      <c r="AQ255" s="176"/>
    </row>
    <row r="256" spans="1:43" s="168" customFormat="1">
      <c r="A256" s="178"/>
      <c r="B256" s="178"/>
      <c r="C256" s="178"/>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E256" s="169"/>
      <c r="AF256" s="179"/>
      <c r="AG256" s="179"/>
      <c r="AH256" s="176"/>
      <c r="AI256" s="176"/>
      <c r="AJ256" s="176"/>
      <c r="AK256" s="176"/>
      <c r="AL256" s="176"/>
      <c r="AM256" s="176"/>
      <c r="AN256" s="176"/>
      <c r="AO256" s="176"/>
      <c r="AP256" s="176"/>
      <c r="AQ256" s="176"/>
    </row>
    <row r="257" spans="1:43" s="168" customFormat="1">
      <c r="A257" s="178"/>
      <c r="B257" s="178"/>
      <c r="C257" s="178"/>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E257" s="169"/>
      <c r="AF257" s="179"/>
      <c r="AG257" s="179"/>
      <c r="AH257" s="176"/>
      <c r="AI257" s="176"/>
      <c r="AJ257" s="176"/>
      <c r="AK257" s="176"/>
      <c r="AL257" s="176"/>
      <c r="AM257" s="176"/>
      <c r="AN257" s="176"/>
      <c r="AO257" s="176"/>
      <c r="AP257" s="176"/>
      <c r="AQ257" s="176"/>
    </row>
    <row r="258" spans="1:43" s="168" customFormat="1">
      <c r="A258" s="178"/>
      <c r="B258" s="178"/>
      <c r="C258" s="178"/>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E258" s="169"/>
      <c r="AF258" s="179"/>
      <c r="AG258" s="179"/>
      <c r="AH258" s="176"/>
      <c r="AI258" s="176"/>
      <c r="AJ258" s="176"/>
      <c r="AK258" s="176"/>
      <c r="AL258" s="176"/>
      <c r="AM258" s="176"/>
      <c r="AN258" s="176"/>
      <c r="AO258" s="176"/>
      <c r="AP258" s="176"/>
      <c r="AQ258" s="176"/>
    </row>
    <row r="259" spans="1:43" s="168" customFormat="1">
      <c r="A259" s="178"/>
      <c r="B259" s="178"/>
      <c r="C259" s="178"/>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E259" s="169"/>
      <c r="AF259" s="179"/>
      <c r="AG259" s="179"/>
      <c r="AH259" s="176"/>
      <c r="AI259" s="176"/>
      <c r="AJ259" s="176"/>
      <c r="AK259" s="176"/>
      <c r="AL259" s="176"/>
      <c r="AM259" s="176"/>
      <c r="AN259" s="176"/>
      <c r="AO259" s="176"/>
      <c r="AP259" s="176"/>
      <c r="AQ259" s="176"/>
    </row>
    <row r="260" spans="1:43" s="168" customFormat="1">
      <c r="A260" s="178"/>
      <c r="B260" s="178"/>
      <c r="C260" s="178"/>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E260" s="169"/>
      <c r="AF260" s="179"/>
      <c r="AG260" s="179"/>
      <c r="AH260" s="176"/>
      <c r="AI260" s="176"/>
      <c r="AJ260" s="176"/>
      <c r="AK260" s="176"/>
      <c r="AL260" s="176"/>
      <c r="AM260" s="176"/>
      <c r="AN260" s="176"/>
      <c r="AO260" s="176"/>
      <c r="AP260" s="176"/>
      <c r="AQ260" s="176"/>
    </row>
    <row r="261" spans="1:43" s="168" customFormat="1">
      <c r="A261" s="178"/>
      <c r="B261" s="178"/>
      <c r="C261" s="178"/>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E261" s="169"/>
      <c r="AF261" s="179"/>
      <c r="AG261" s="179"/>
      <c r="AH261" s="176"/>
      <c r="AI261" s="176"/>
      <c r="AJ261" s="176"/>
      <c r="AK261" s="176"/>
      <c r="AL261" s="176"/>
      <c r="AM261" s="176"/>
      <c r="AN261" s="176"/>
      <c r="AO261" s="176"/>
      <c r="AP261" s="176"/>
      <c r="AQ261" s="176"/>
    </row>
    <row r="262" spans="1:43" s="168" customFormat="1">
      <c r="A262" s="178"/>
      <c r="B262" s="178"/>
      <c r="C262" s="178"/>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E262" s="169"/>
      <c r="AF262" s="179"/>
      <c r="AG262" s="179"/>
      <c r="AH262" s="176"/>
      <c r="AI262" s="176"/>
      <c r="AJ262" s="176"/>
      <c r="AK262" s="176"/>
      <c r="AL262" s="176"/>
      <c r="AM262" s="176"/>
      <c r="AN262" s="176"/>
      <c r="AO262" s="176"/>
      <c r="AP262" s="176"/>
      <c r="AQ262" s="176"/>
    </row>
    <row r="263" spans="1:43" s="168" customFormat="1">
      <c r="A263" s="178"/>
      <c r="B263" s="178"/>
      <c r="C263" s="178"/>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E263" s="169"/>
      <c r="AF263" s="179"/>
      <c r="AG263" s="179"/>
      <c r="AH263" s="176"/>
      <c r="AI263" s="176"/>
      <c r="AJ263" s="176"/>
      <c r="AK263" s="176"/>
      <c r="AL263" s="176"/>
      <c r="AM263" s="176"/>
      <c r="AN263" s="176"/>
      <c r="AO263" s="176"/>
      <c r="AP263" s="176"/>
      <c r="AQ263" s="176"/>
    </row>
    <row r="264" spans="1:43" s="168" customFormat="1">
      <c r="A264" s="178"/>
      <c r="B264" s="178"/>
      <c r="C264" s="178"/>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E264" s="169"/>
      <c r="AF264" s="179"/>
      <c r="AG264" s="179"/>
      <c r="AH264" s="176"/>
      <c r="AI264" s="176"/>
      <c r="AJ264" s="176"/>
      <c r="AK264" s="176"/>
      <c r="AL264" s="176"/>
      <c r="AM264" s="176"/>
      <c r="AN264" s="176"/>
      <c r="AO264" s="176"/>
      <c r="AP264" s="176"/>
      <c r="AQ264" s="176"/>
    </row>
    <row r="265" spans="1:43" s="168" customFormat="1">
      <c r="A265" s="178"/>
      <c r="B265" s="178"/>
      <c r="C265" s="178"/>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E265" s="169"/>
      <c r="AF265" s="179"/>
      <c r="AG265" s="179"/>
      <c r="AH265" s="176"/>
      <c r="AI265" s="176"/>
      <c r="AJ265" s="176"/>
      <c r="AK265" s="176"/>
      <c r="AL265" s="176"/>
      <c r="AM265" s="176"/>
      <c r="AN265" s="176"/>
      <c r="AO265" s="176"/>
      <c r="AP265" s="176"/>
      <c r="AQ265" s="176"/>
    </row>
    <row r="266" spans="1:43" s="168" customFormat="1">
      <c r="A266" s="178"/>
      <c r="B266" s="178"/>
      <c r="C266" s="178"/>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E266" s="169"/>
      <c r="AF266" s="179"/>
      <c r="AG266" s="179"/>
      <c r="AH266" s="176"/>
      <c r="AI266" s="176"/>
      <c r="AJ266" s="176"/>
      <c r="AK266" s="176"/>
      <c r="AL266" s="176"/>
      <c r="AM266" s="176"/>
      <c r="AN266" s="176"/>
      <c r="AO266" s="176"/>
      <c r="AP266" s="176"/>
      <c r="AQ266" s="176"/>
    </row>
    <row r="267" spans="1:43" s="168" customFormat="1">
      <c r="A267" s="178"/>
      <c r="B267" s="178"/>
      <c r="C267" s="178"/>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E267" s="169"/>
      <c r="AF267" s="179"/>
      <c r="AG267" s="179"/>
      <c r="AH267" s="176"/>
      <c r="AI267" s="176"/>
      <c r="AJ267" s="176"/>
      <c r="AK267" s="176"/>
      <c r="AL267" s="176"/>
      <c r="AM267" s="176"/>
      <c r="AN267" s="176"/>
      <c r="AO267" s="176"/>
      <c r="AP267" s="176"/>
      <c r="AQ267" s="176"/>
    </row>
    <row r="268" spans="1:43" s="168" customFormat="1">
      <c r="A268" s="178"/>
      <c r="B268" s="178"/>
      <c r="C268" s="178"/>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E268" s="169"/>
      <c r="AF268" s="179"/>
      <c r="AG268" s="179"/>
      <c r="AH268" s="176"/>
      <c r="AI268" s="176"/>
      <c r="AJ268" s="176"/>
      <c r="AK268" s="176"/>
      <c r="AL268" s="176"/>
      <c r="AM268" s="176"/>
      <c r="AN268" s="176"/>
      <c r="AO268" s="176"/>
      <c r="AP268" s="176"/>
      <c r="AQ268" s="176"/>
    </row>
    <row r="269" spans="1:43" s="168" customFormat="1">
      <c r="A269" s="178"/>
      <c r="B269" s="178"/>
      <c r="C269" s="178"/>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E269" s="169"/>
      <c r="AF269" s="179"/>
      <c r="AG269" s="179"/>
      <c r="AH269" s="176"/>
      <c r="AI269" s="176"/>
      <c r="AJ269" s="176"/>
      <c r="AK269" s="176"/>
      <c r="AL269" s="176"/>
      <c r="AM269" s="176"/>
      <c r="AN269" s="176"/>
      <c r="AO269" s="176"/>
      <c r="AP269" s="176"/>
      <c r="AQ269" s="176"/>
    </row>
    <row r="270" spans="1:43" s="168" customFormat="1">
      <c r="A270" s="178"/>
      <c r="B270" s="178"/>
      <c r="C270" s="178"/>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E270" s="169"/>
      <c r="AF270" s="179"/>
      <c r="AG270" s="179"/>
      <c r="AH270" s="176"/>
      <c r="AI270" s="176"/>
      <c r="AJ270" s="176"/>
      <c r="AK270" s="176"/>
      <c r="AL270" s="176"/>
      <c r="AM270" s="176"/>
      <c r="AN270" s="176"/>
      <c r="AO270" s="176"/>
      <c r="AP270" s="176"/>
      <c r="AQ270" s="176"/>
    </row>
    <row r="271" spans="1:43" s="168" customFormat="1">
      <c r="A271" s="178"/>
      <c r="B271" s="178"/>
      <c r="C271" s="178"/>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E271" s="169"/>
      <c r="AF271" s="179"/>
      <c r="AG271" s="179"/>
      <c r="AH271" s="176"/>
      <c r="AI271" s="176"/>
      <c r="AJ271" s="176"/>
      <c r="AK271" s="176"/>
      <c r="AL271" s="176"/>
      <c r="AM271" s="176"/>
      <c r="AN271" s="176"/>
      <c r="AO271" s="176"/>
      <c r="AP271" s="176"/>
      <c r="AQ271" s="176"/>
    </row>
    <row r="272" spans="1:43" s="168" customFormat="1">
      <c r="A272" s="178"/>
      <c r="B272" s="178"/>
      <c r="C272" s="178"/>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E272" s="169"/>
      <c r="AF272" s="179"/>
      <c r="AG272" s="179"/>
      <c r="AH272" s="176"/>
      <c r="AI272" s="176"/>
      <c r="AJ272" s="176"/>
      <c r="AK272" s="176"/>
      <c r="AL272" s="176"/>
      <c r="AM272" s="176"/>
      <c r="AN272" s="176"/>
      <c r="AO272" s="176"/>
      <c r="AP272" s="176"/>
      <c r="AQ272" s="176"/>
    </row>
    <row r="273" spans="1:43" s="168" customFormat="1">
      <c r="A273" s="178"/>
      <c r="B273" s="178"/>
      <c r="C273" s="178"/>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E273" s="169"/>
      <c r="AF273" s="179"/>
      <c r="AG273" s="179"/>
      <c r="AH273" s="176"/>
      <c r="AI273" s="176"/>
      <c r="AJ273" s="176"/>
      <c r="AK273" s="176"/>
      <c r="AL273" s="176"/>
      <c r="AM273" s="176"/>
      <c r="AN273" s="176"/>
      <c r="AO273" s="176"/>
      <c r="AP273" s="176"/>
      <c r="AQ273" s="176"/>
    </row>
    <row r="274" spans="1:43" s="168" customFormat="1">
      <c r="A274" s="178"/>
      <c r="B274" s="178"/>
      <c r="C274" s="178"/>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E274" s="169"/>
      <c r="AF274" s="179"/>
      <c r="AG274" s="179"/>
      <c r="AH274" s="176"/>
      <c r="AI274" s="176"/>
      <c r="AJ274" s="176"/>
      <c r="AK274" s="176"/>
      <c r="AL274" s="176"/>
      <c r="AM274" s="176"/>
      <c r="AN274" s="176"/>
      <c r="AO274" s="176"/>
      <c r="AP274" s="176"/>
      <c r="AQ274" s="176"/>
    </row>
    <row r="275" spans="1:43" s="168" customFormat="1">
      <c r="A275" s="178"/>
      <c r="B275" s="178"/>
      <c r="C275" s="178"/>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E275" s="169"/>
      <c r="AF275" s="179"/>
      <c r="AG275" s="179"/>
      <c r="AH275" s="176"/>
      <c r="AI275" s="176"/>
      <c r="AJ275" s="176"/>
      <c r="AK275" s="176"/>
      <c r="AL275" s="176"/>
      <c r="AM275" s="176"/>
      <c r="AN275" s="176"/>
      <c r="AO275" s="176"/>
      <c r="AP275" s="176"/>
      <c r="AQ275" s="176"/>
    </row>
    <row r="276" spans="1:43" s="168" customFormat="1">
      <c r="A276" s="178"/>
      <c r="B276" s="178"/>
      <c r="C276" s="178"/>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E276" s="169"/>
      <c r="AF276" s="179"/>
      <c r="AG276" s="179"/>
      <c r="AH276" s="176"/>
      <c r="AI276" s="176"/>
      <c r="AJ276" s="176"/>
      <c r="AK276" s="176"/>
      <c r="AL276" s="176"/>
      <c r="AM276" s="176"/>
      <c r="AN276" s="176"/>
      <c r="AO276" s="176"/>
      <c r="AP276" s="176"/>
      <c r="AQ276" s="176"/>
    </row>
    <row r="277" spans="1:43" s="168" customFormat="1">
      <c r="A277" s="178"/>
      <c r="B277" s="178"/>
      <c r="C277" s="178"/>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E277" s="169"/>
      <c r="AF277" s="179"/>
      <c r="AG277" s="179"/>
      <c r="AH277" s="176"/>
      <c r="AI277" s="176"/>
      <c r="AJ277" s="176"/>
      <c r="AK277" s="176"/>
      <c r="AL277" s="176"/>
      <c r="AM277" s="176"/>
      <c r="AN277" s="176"/>
      <c r="AO277" s="176"/>
      <c r="AP277" s="176"/>
      <c r="AQ277" s="176"/>
    </row>
    <row r="278" spans="1:43" s="168" customFormat="1">
      <c r="A278" s="178"/>
      <c r="B278" s="178"/>
      <c r="C278" s="178"/>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E278" s="169"/>
      <c r="AF278" s="179"/>
      <c r="AG278" s="179"/>
      <c r="AH278" s="176"/>
      <c r="AI278" s="176"/>
      <c r="AJ278" s="176"/>
      <c r="AK278" s="176"/>
      <c r="AL278" s="176"/>
      <c r="AM278" s="176"/>
      <c r="AN278" s="176"/>
      <c r="AO278" s="176"/>
      <c r="AP278" s="176"/>
      <c r="AQ278" s="176"/>
    </row>
    <row r="279" spans="1:43" s="168" customFormat="1">
      <c r="A279" s="178"/>
      <c r="B279" s="178"/>
      <c r="C279" s="178"/>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E279" s="169"/>
      <c r="AF279" s="179"/>
      <c r="AG279" s="179"/>
      <c r="AH279" s="176"/>
      <c r="AI279" s="176"/>
      <c r="AJ279" s="176"/>
      <c r="AK279" s="176"/>
      <c r="AL279" s="176"/>
      <c r="AM279" s="176"/>
      <c r="AN279" s="176"/>
      <c r="AO279" s="176"/>
      <c r="AP279" s="176"/>
      <c r="AQ279" s="176"/>
    </row>
    <row r="280" spans="1:43" s="168" customFormat="1">
      <c r="A280" s="178"/>
      <c r="B280" s="178"/>
      <c r="C280" s="178"/>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E280" s="169"/>
      <c r="AF280" s="179"/>
      <c r="AG280" s="179"/>
      <c r="AH280" s="176"/>
      <c r="AI280" s="176"/>
      <c r="AJ280" s="176"/>
      <c r="AK280" s="176"/>
      <c r="AL280" s="176"/>
      <c r="AM280" s="176"/>
      <c r="AN280" s="176"/>
      <c r="AO280" s="176"/>
      <c r="AP280" s="176"/>
      <c r="AQ280" s="176"/>
    </row>
    <row r="281" spans="1:43" s="168" customFormat="1">
      <c r="A281" s="178"/>
      <c r="B281" s="178"/>
      <c r="C281" s="178"/>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E281" s="169"/>
      <c r="AF281" s="179"/>
      <c r="AG281" s="179"/>
      <c r="AH281" s="176"/>
      <c r="AI281" s="176"/>
      <c r="AJ281" s="176"/>
      <c r="AK281" s="176"/>
      <c r="AL281" s="176"/>
      <c r="AM281" s="176"/>
      <c r="AN281" s="176"/>
      <c r="AO281" s="176"/>
      <c r="AP281" s="176"/>
      <c r="AQ281" s="176"/>
    </row>
    <row r="282" spans="1:43" s="168" customFormat="1">
      <c r="A282" s="178"/>
      <c r="B282" s="178"/>
      <c r="C282" s="178"/>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E282" s="169"/>
      <c r="AF282" s="179"/>
      <c r="AG282" s="179"/>
      <c r="AH282" s="176"/>
      <c r="AI282" s="176"/>
      <c r="AJ282" s="176"/>
      <c r="AK282" s="176"/>
      <c r="AL282" s="176"/>
      <c r="AM282" s="176"/>
      <c r="AN282" s="176"/>
      <c r="AO282" s="176"/>
      <c r="AP282" s="176"/>
      <c r="AQ282" s="176"/>
    </row>
    <row r="283" spans="1:43" s="168" customFormat="1">
      <c r="A283" s="178"/>
      <c r="B283" s="178"/>
      <c r="C283" s="178"/>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E283" s="169"/>
      <c r="AF283" s="179"/>
      <c r="AG283" s="179"/>
      <c r="AH283" s="176"/>
      <c r="AI283" s="176"/>
      <c r="AJ283" s="176"/>
      <c r="AK283" s="176"/>
      <c r="AL283" s="176"/>
      <c r="AM283" s="176"/>
      <c r="AN283" s="176"/>
      <c r="AO283" s="176"/>
      <c r="AP283" s="176"/>
      <c r="AQ283" s="176"/>
    </row>
    <row r="284" spans="1:43" s="168" customFormat="1">
      <c r="A284" s="178"/>
      <c r="B284" s="178"/>
      <c r="C284" s="178"/>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E284" s="169"/>
      <c r="AF284" s="179"/>
      <c r="AG284" s="179"/>
      <c r="AH284" s="176"/>
      <c r="AI284" s="176"/>
      <c r="AJ284" s="176"/>
      <c r="AK284" s="176"/>
      <c r="AL284" s="176"/>
      <c r="AM284" s="176"/>
      <c r="AN284" s="176"/>
      <c r="AO284" s="176"/>
      <c r="AP284" s="176"/>
      <c r="AQ284" s="176"/>
    </row>
    <row r="285" spans="1:43" s="168" customFormat="1">
      <c r="A285" s="178"/>
      <c r="B285" s="178"/>
      <c r="C285" s="178"/>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E285" s="169"/>
      <c r="AF285" s="179"/>
      <c r="AG285" s="179"/>
      <c r="AH285" s="176"/>
      <c r="AI285" s="176"/>
      <c r="AJ285" s="176"/>
      <c r="AK285" s="176"/>
      <c r="AL285" s="176"/>
      <c r="AM285" s="176"/>
      <c r="AN285" s="176"/>
      <c r="AO285" s="176"/>
      <c r="AP285" s="176"/>
      <c r="AQ285" s="176"/>
    </row>
    <row r="286" spans="1:43" s="168" customFormat="1">
      <c r="A286" s="178"/>
      <c r="B286" s="178"/>
      <c r="C286" s="178"/>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E286" s="169"/>
      <c r="AF286" s="179"/>
      <c r="AG286" s="179"/>
      <c r="AH286" s="176"/>
      <c r="AI286" s="176"/>
      <c r="AJ286" s="176"/>
      <c r="AK286" s="176"/>
      <c r="AL286" s="176"/>
      <c r="AM286" s="176"/>
      <c r="AN286" s="176"/>
      <c r="AO286" s="176"/>
      <c r="AP286" s="176"/>
      <c r="AQ286" s="176"/>
    </row>
    <row r="287" spans="1:43" s="168" customFormat="1">
      <c r="A287" s="178"/>
      <c r="B287" s="178"/>
      <c r="C287" s="178"/>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E287" s="169"/>
      <c r="AF287" s="179"/>
      <c r="AG287" s="179"/>
      <c r="AH287" s="176"/>
      <c r="AI287" s="176"/>
      <c r="AJ287" s="176"/>
      <c r="AK287" s="176"/>
      <c r="AL287" s="176"/>
      <c r="AM287" s="176"/>
      <c r="AN287" s="176"/>
      <c r="AO287" s="176"/>
      <c r="AP287" s="176"/>
      <c r="AQ287" s="176"/>
    </row>
    <row r="288" spans="1:43" s="168" customFormat="1">
      <c r="A288" s="178"/>
      <c r="B288" s="178"/>
      <c r="C288" s="178"/>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E288" s="169"/>
      <c r="AF288" s="179"/>
      <c r="AG288" s="179"/>
      <c r="AH288" s="176"/>
      <c r="AI288" s="176"/>
      <c r="AJ288" s="176"/>
      <c r="AK288" s="176"/>
      <c r="AL288" s="176"/>
      <c r="AM288" s="176"/>
      <c r="AN288" s="176"/>
      <c r="AO288" s="176"/>
      <c r="AP288" s="176"/>
      <c r="AQ288" s="176"/>
    </row>
    <row r="289" spans="1:43" s="168" customFormat="1">
      <c r="A289" s="178"/>
      <c r="B289" s="178"/>
      <c r="C289" s="178"/>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E289" s="169"/>
      <c r="AF289" s="179"/>
      <c r="AG289" s="179"/>
      <c r="AH289" s="176"/>
      <c r="AI289" s="176"/>
      <c r="AJ289" s="176"/>
      <c r="AK289" s="176"/>
      <c r="AL289" s="176"/>
      <c r="AM289" s="176"/>
      <c r="AN289" s="176"/>
      <c r="AO289" s="176"/>
      <c r="AP289" s="176"/>
      <c r="AQ289" s="176"/>
    </row>
    <row r="290" spans="1:43" s="168" customFormat="1">
      <c r="A290" s="178"/>
      <c r="B290" s="178"/>
      <c r="C290" s="178"/>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E290" s="169"/>
      <c r="AF290" s="179"/>
      <c r="AG290" s="179"/>
      <c r="AH290" s="176"/>
      <c r="AI290" s="176"/>
      <c r="AJ290" s="176"/>
      <c r="AK290" s="176"/>
      <c r="AL290" s="176"/>
      <c r="AM290" s="176"/>
      <c r="AN290" s="176"/>
      <c r="AO290" s="176"/>
      <c r="AP290" s="176"/>
      <c r="AQ290" s="176"/>
    </row>
    <row r="291" spans="1:43" s="168" customFormat="1">
      <c r="A291" s="178"/>
      <c r="B291" s="178"/>
      <c r="C291" s="178"/>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E291" s="169"/>
      <c r="AF291" s="179"/>
      <c r="AG291" s="179"/>
      <c r="AH291" s="176"/>
      <c r="AI291" s="176"/>
      <c r="AJ291" s="176"/>
      <c r="AK291" s="176"/>
      <c r="AL291" s="176"/>
      <c r="AM291" s="176"/>
      <c r="AN291" s="176"/>
      <c r="AO291" s="176"/>
      <c r="AP291" s="176"/>
      <c r="AQ291" s="176"/>
    </row>
    <row r="292" spans="1:43" s="168" customFormat="1">
      <c r="A292" s="178"/>
      <c r="B292" s="178"/>
      <c r="C292" s="178"/>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E292" s="169"/>
      <c r="AF292" s="179"/>
      <c r="AG292" s="179"/>
      <c r="AH292" s="176"/>
      <c r="AI292" s="176"/>
      <c r="AJ292" s="176"/>
      <c r="AK292" s="176"/>
      <c r="AL292" s="176"/>
      <c r="AM292" s="176"/>
      <c r="AN292" s="176"/>
      <c r="AO292" s="176"/>
      <c r="AP292" s="176"/>
      <c r="AQ292" s="176"/>
    </row>
    <row r="293" spans="1:43" s="168" customFormat="1">
      <c r="A293" s="178"/>
      <c r="B293" s="178"/>
      <c r="C293" s="178"/>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E293" s="169"/>
      <c r="AF293" s="179"/>
      <c r="AG293" s="179"/>
      <c r="AH293" s="176"/>
      <c r="AI293" s="176"/>
      <c r="AJ293" s="176"/>
      <c r="AK293" s="176"/>
      <c r="AL293" s="176"/>
      <c r="AM293" s="176"/>
      <c r="AN293" s="176"/>
      <c r="AO293" s="176"/>
      <c r="AP293" s="176"/>
      <c r="AQ293" s="176"/>
    </row>
    <row r="294" spans="1:43" s="168" customFormat="1">
      <c r="A294" s="178"/>
      <c r="B294" s="178"/>
      <c r="C294" s="178"/>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E294" s="169"/>
      <c r="AF294" s="179"/>
      <c r="AG294" s="179"/>
      <c r="AH294" s="176"/>
      <c r="AI294" s="176"/>
      <c r="AJ294" s="176"/>
      <c r="AK294" s="176"/>
      <c r="AL294" s="176"/>
      <c r="AM294" s="176"/>
      <c r="AN294" s="176"/>
      <c r="AO294" s="176"/>
      <c r="AP294" s="176"/>
      <c r="AQ294" s="176"/>
    </row>
    <row r="295" spans="1:43" s="168" customFormat="1">
      <c r="A295" s="178"/>
      <c r="B295" s="178"/>
      <c r="C295" s="178"/>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E295" s="169"/>
      <c r="AF295" s="179"/>
      <c r="AG295" s="179"/>
      <c r="AH295" s="176"/>
      <c r="AI295" s="176"/>
      <c r="AJ295" s="176"/>
      <c r="AK295" s="176"/>
      <c r="AL295" s="176"/>
      <c r="AM295" s="176"/>
      <c r="AN295" s="176"/>
      <c r="AO295" s="176"/>
      <c r="AP295" s="176"/>
      <c r="AQ295" s="176"/>
    </row>
    <row r="296" spans="1:43" s="168" customFormat="1">
      <c r="A296" s="178"/>
      <c r="B296" s="178"/>
      <c r="C296" s="178"/>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E296" s="169"/>
      <c r="AF296" s="179"/>
      <c r="AG296" s="179"/>
      <c r="AH296" s="176"/>
      <c r="AI296" s="176"/>
      <c r="AJ296" s="176"/>
      <c r="AK296" s="176"/>
      <c r="AL296" s="176"/>
      <c r="AM296" s="176"/>
      <c r="AN296" s="176"/>
      <c r="AO296" s="176"/>
      <c r="AP296" s="176"/>
      <c r="AQ296" s="176"/>
    </row>
    <row r="297" spans="1:43" s="168" customFormat="1">
      <c r="A297" s="178"/>
      <c r="B297" s="178"/>
      <c r="C297" s="178"/>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E297" s="169"/>
      <c r="AF297" s="179"/>
      <c r="AG297" s="179"/>
      <c r="AH297" s="176"/>
      <c r="AI297" s="176"/>
      <c r="AJ297" s="176"/>
      <c r="AK297" s="176"/>
      <c r="AL297" s="176"/>
      <c r="AM297" s="176"/>
      <c r="AN297" s="176"/>
      <c r="AO297" s="176"/>
      <c r="AP297" s="176"/>
      <c r="AQ297" s="176"/>
    </row>
    <row r="298" spans="1:43" s="168" customFormat="1">
      <c r="A298" s="178"/>
      <c r="B298" s="178"/>
      <c r="C298" s="178"/>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E298" s="169"/>
      <c r="AF298" s="179"/>
      <c r="AG298" s="179"/>
      <c r="AH298" s="176"/>
      <c r="AI298" s="176"/>
      <c r="AJ298" s="176"/>
      <c r="AK298" s="176"/>
      <c r="AL298" s="176"/>
      <c r="AM298" s="176"/>
      <c r="AN298" s="176"/>
      <c r="AO298" s="176"/>
      <c r="AP298" s="176"/>
      <c r="AQ298" s="176"/>
    </row>
    <row r="299" spans="1:43" s="168" customFormat="1">
      <c r="A299" s="178"/>
      <c r="B299" s="178"/>
      <c r="C299" s="178"/>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E299" s="169"/>
      <c r="AF299" s="179"/>
      <c r="AG299" s="179"/>
      <c r="AH299" s="176"/>
      <c r="AI299" s="176"/>
      <c r="AJ299" s="176"/>
      <c r="AK299" s="176"/>
      <c r="AL299" s="176"/>
      <c r="AM299" s="176"/>
      <c r="AN299" s="176"/>
      <c r="AO299" s="176"/>
      <c r="AP299" s="176"/>
      <c r="AQ299" s="176"/>
    </row>
    <row r="300" spans="1:43" s="168" customFormat="1">
      <c r="A300" s="178"/>
      <c r="B300" s="178"/>
      <c r="C300" s="178"/>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E300" s="169"/>
      <c r="AF300" s="179"/>
      <c r="AG300" s="179"/>
      <c r="AH300" s="176"/>
      <c r="AI300" s="176"/>
      <c r="AJ300" s="176"/>
      <c r="AK300" s="176"/>
      <c r="AL300" s="176"/>
      <c r="AM300" s="176"/>
      <c r="AN300" s="176"/>
      <c r="AO300" s="176"/>
      <c r="AP300" s="176"/>
      <c r="AQ300" s="176"/>
    </row>
    <row r="301" spans="1:43" s="168" customFormat="1">
      <c r="A301" s="178"/>
      <c r="B301" s="178"/>
      <c r="C301" s="178"/>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E301" s="169"/>
      <c r="AF301" s="179"/>
      <c r="AG301" s="179"/>
      <c r="AH301" s="176"/>
      <c r="AI301" s="176"/>
      <c r="AJ301" s="176"/>
      <c r="AK301" s="176"/>
      <c r="AL301" s="176"/>
      <c r="AM301" s="176"/>
      <c r="AN301" s="176"/>
      <c r="AO301" s="176"/>
      <c r="AP301" s="176"/>
      <c r="AQ301" s="176"/>
    </row>
    <row r="302" spans="1:43" s="168" customFormat="1">
      <c r="A302" s="178"/>
      <c r="B302" s="178"/>
      <c r="C302" s="178"/>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E302" s="169"/>
      <c r="AF302" s="179"/>
      <c r="AG302" s="179"/>
      <c r="AH302" s="176"/>
      <c r="AI302" s="176"/>
      <c r="AJ302" s="176"/>
      <c r="AK302" s="176"/>
      <c r="AL302" s="176"/>
      <c r="AM302" s="176"/>
      <c r="AN302" s="176"/>
      <c r="AO302" s="176"/>
      <c r="AP302" s="176"/>
      <c r="AQ302" s="176"/>
    </row>
    <row r="303" spans="1:43" s="168" customFormat="1">
      <c r="A303" s="178"/>
      <c r="B303" s="178"/>
      <c r="C303" s="178"/>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E303" s="169"/>
      <c r="AF303" s="179"/>
      <c r="AG303" s="179"/>
      <c r="AH303" s="176"/>
      <c r="AI303" s="176"/>
      <c r="AJ303" s="176"/>
      <c r="AK303" s="176"/>
      <c r="AL303" s="176"/>
      <c r="AM303" s="176"/>
      <c r="AN303" s="176"/>
      <c r="AO303" s="176"/>
      <c r="AP303" s="176"/>
      <c r="AQ303" s="176"/>
    </row>
    <row r="304" spans="1:43" s="168" customFormat="1">
      <c r="A304" s="178"/>
      <c r="B304" s="178"/>
      <c r="C304" s="178"/>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E304" s="169"/>
      <c r="AF304" s="179"/>
      <c r="AG304" s="179"/>
      <c r="AH304" s="176"/>
      <c r="AI304" s="176"/>
      <c r="AJ304" s="176"/>
      <c r="AK304" s="176"/>
      <c r="AL304" s="176"/>
      <c r="AM304" s="176"/>
      <c r="AN304" s="176"/>
      <c r="AO304" s="176"/>
      <c r="AP304" s="176"/>
      <c r="AQ304" s="176"/>
    </row>
    <row r="305" spans="1:43" s="168" customFormat="1">
      <c r="A305" s="178"/>
      <c r="B305" s="178"/>
      <c r="C305" s="178"/>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E305" s="169"/>
      <c r="AF305" s="179"/>
      <c r="AG305" s="179"/>
      <c r="AH305" s="176"/>
      <c r="AI305" s="176"/>
      <c r="AJ305" s="176"/>
      <c r="AK305" s="176"/>
      <c r="AL305" s="176"/>
      <c r="AM305" s="176"/>
      <c r="AN305" s="176"/>
      <c r="AO305" s="176"/>
      <c r="AP305" s="176"/>
      <c r="AQ305" s="176"/>
    </row>
    <row r="306" spans="1:43" s="168" customFormat="1">
      <c r="A306" s="178"/>
      <c r="B306" s="178"/>
      <c r="C306" s="178"/>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E306" s="169"/>
      <c r="AF306" s="179"/>
      <c r="AG306" s="179"/>
      <c r="AH306" s="176"/>
      <c r="AI306" s="176"/>
      <c r="AJ306" s="176"/>
      <c r="AK306" s="176"/>
      <c r="AL306" s="176"/>
      <c r="AM306" s="176"/>
      <c r="AN306" s="176"/>
      <c r="AO306" s="176"/>
      <c r="AP306" s="176"/>
      <c r="AQ306" s="176"/>
    </row>
    <row r="307" spans="1:43" s="168" customFormat="1">
      <c r="A307" s="178"/>
      <c r="B307" s="178"/>
      <c r="C307" s="178"/>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E307" s="169"/>
      <c r="AF307" s="179"/>
      <c r="AG307" s="179"/>
      <c r="AH307" s="176"/>
      <c r="AI307" s="176"/>
      <c r="AJ307" s="176"/>
      <c r="AK307" s="176"/>
      <c r="AL307" s="176"/>
      <c r="AM307" s="176"/>
      <c r="AN307" s="176"/>
      <c r="AO307" s="176"/>
      <c r="AP307" s="176"/>
      <c r="AQ307" s="176"/>
    </row>
    <row r="308" spans="1:43" s="168" customFormat="1">
      <c r="A308" s="178"/>
      <c r="B308" s="178"/>
      <c r="C308" s="178"/>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E308" s="169"/>
      <c r="AF308" s="179"/>
      <c r="AG308" s="179"/>
      <c r="AH308" s="176"/>
      <c r="AI308" s="176"/>
      <c r="AJ308" s="176"/>
      <c r="AK308" s="176"/>
      <c r="AL308" s="176"/>
      <c r="AM308" s="176"/>
      <c r="AN308" s="176"/>
      <c r="AO308" s="176"/>
      <c r="AP308" s="176"/>
      <c r="AQ308" s="176"/>
    </row>
    <row r="309" spans="1:43" s="168" customFormat="1">
      <c r="A309" s="178"/>
      <c r="B309" s="178"/>
      <c r="C309" s="178"/>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E309" s="169"/>
      <c r="AF309" s="179"/>
      <c r="AG309" s="179"/>
      <c r="AH309" s="176"/>
      <c r="AI309" s="176"/>
      <c r="AJ309" s="176"/>
      <c r="AK309" s="176"/>
      <c r="AL309" s="176"/>
      <c r="AM309" s="176"/>
      <c r="AN309" s="176"/>
      <c r="AO309" s="176"/>
      <c r="AP309" s="176"/>
      <c r="AQ309" s="176"/>
    </row>
    <row r="310" spans="1:43" s="168" customFormat="1">
      <c r="A310" s="178"/>
      <c r="B310" s="178"/>
      <c r="C310" s="178"/>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E310" s="169"/>
      <c r="AF310" s="179"/>
      <c r="AG310" s="179"/>
      <c r="AH310" s="176"/>
      <c r="AI310" s="176"/>
      <c r="AJ310" s="176"/>
      <c r="AK310" s="176"/>
      <c r="AL310" s="176"/>
      <c r="AM310" s="176"/>
      <c r="AN310" s="176"/>
      <c r="AO310" s="176"/>
      <c r="AP310" s="176"/>
      <c r="AQ310" s="176"/>
    </row>
    <row r="311" spans="1:43" s="168" customFormat="1">
      <c r="A311" s="178"/>
      <c r="B311" s="178"/>
      <c r="C311" s="178"/>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E311" s="169"/>
      <c r="AF311" s="179"/>
      <c r="AG311" s="179"/>
      <c r="AH311" s="176"/>
      <c r="AI311" s="176"/>
      <c r="AJ311" s="176"/>
      <c r="AK311" s="176"/>
      <c r="AL311" s="176"/>
      <c r="AM311" s="176"/>
      <c r="AN311" s="176"/>
      <c r="AO311" s="176"/>
      <c r="AP311" s="176"/>
      <c r="AQ311" s="176"/>
    </row>
    <row r="312" spans="1:43" s="168" customFormat="1">
      <c r="A312" s="178"/>
      <c r="B312" s="178"/>
      <c r="C312" s="178"/>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E312" s="169"/>
      <c r="AF312" s="179"/>
      <c r="AG312" s="179"/>
      <c r="AH312" s="176"/>
      <c r="AI312" s="176"/>
      <c r="AJ312" s="176"/>
      <c r="AK312" s="176"/>
      <c r="AL312" s="176"/>
      <c r="AM312" s="176"/>
      <c r="AN312" s="176"/>
      <c r="AO312" s="176"/>
      <c r="AP312" s="176"/>
      <c r="AQ312" s="176"/>
    </row>
    <row r="313" spans="1:43" s="168" customFormat="1">
      <c r="A313" s="178"/>
      <c r="B313" s="178"/>
      <c r="C313" s="178"/>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E313" s="169"/>
      <c r="AF313" s="179"/>
      <c r="AG313" s="179"/>
      <c r="AH313" s="176"/>
      <c r="AI313" s="176"/>
      <c r="AJ313" s="176"/>
      <c r="AK313" s="176"/>
      <c r="AL313" s="176"/>
      <c r="AM313" s="176"/>
      <c r="AN313" s="176"/>
      <c r="AO313" s="176"/>
      <c r="AP313" s="176"/>
      <c r="AQ313" s="176"/>
    </row>
    <row r="314" spans="1:43" s="168" customFormat="1">
      <c r="A314" s="178"/>
      <c r="B314" s="178"/>
      <c r="C314" s="178"/>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E314" s="169"/>
      <c r="AF314" s="179"/>
      <c r="AG314" s="179"/>
      <c r="AH314" s="176"/>
      <c r="AI314" s="176"/>
      <c r="AJ314" s="176"/>
      <c r="AK314" s="176"/>
      <c r="AL314" s="176"/>
      <c r="AM314" s="176"/>
      <c r="AN314" s="176"/>
      <c r="AO314" s="176"/>
      <c r="AP314" s="176"/>
      <c r="AQ314" s="176"/>
    </row>
    <row r="315" spans="1:43" s="168" customFormat="1">
      <c r="A315" s="178"/>
      <c r="B315" s="178"/>
      <c r="C315" s="178"/>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E315" s="169"/>
      <c r="AF315" s="179"/>
      <c r="AG315" s="179"/>
      <c r="AH315" s="176"/>
      <c r="AI315" s="176"/>
      <c r="AJ315" s="176"/>
      <c r="AK315" s="176"/>
      <c r="AL315" s="176"/>
      <c r="AM315" s="176"/>
      <c r="AN315" s="176"/>
      <c r="AO315" s="176"/>
      <c r="AP315" s="176"/>
      <c r="AQ315" s="176"/>
    </row>
    <row r="316" spans="1:43" s="168" customFormat="1">
      <c r="A316" s="178"/>
      <c r="B316" s="178"/>
      <c r="C316" s="178"/>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E316" s="169"/>
      <c r="AF316" s="179"/>
      <c r="AG316" s="179"/>
      <c r="AH316" s="176"/>
      <c r="AI316" s="176"/>
      <c r="AJ316" s="176"/>
      <c r="AK316" s="176"/>
      <c r="AL316" s="176"/>
      <c r="AM316" s="176"/>
      <c r="AN316" s="176"/>
      <c r="AO316" s="176"/>
      <c r="AP316" s="176"/>
      <c r="AQ316" s="176"/>
    </row>
    <row r="317" spans="1:43" s="168" customFormat="1">
      <c r="A317" s="178"/>
      <c r="B317" s="178"/>
      <c r="C317" s="178"/>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E317" s="169"/>
      <c r="AF317" s="179"/>
      <c r="AG317" s="179"/>
      <c r="AH317" s="176"/>
      <c r="AI317" s="176"/>
      <c r="AJ317" s="176"/>
      <c r="AK317" s="176"/>
      <c r="AL317" s="176"/>
      <c r="AM317" s="176"/>
      <c r="AN317" s="176"/>
      <c r="AO317" s="176"/>
      <c r="AP317" s="176"/>
      <c r="AQ317" s="176"/>
    </row>
    <row r="318" spans="1:43" s="168" customFormat="1">
      <c r="A318" s="178"/>
      <c r="B318" s="178"/>
      <c r="C318" s="178"/>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E318" s="169"/>
      <c r="AF318" s="179"/>
      <c r="AG318" s="179"/>
      <c r="AH318" s="176"/>
      <c r="AI318" s="176"/>
      <c r="AJ318" s="176"/>
      <c r="AK318" s="176"/>
      <c r="AL318" s="176"/>
      <c r="AM318" s="176"/>
      <c r="AN318" s="176"/>
      <c r="AO318" s="176"/>
      <c r="AP318" s="176"/>
      <c r="AQ318" s="176"/>
    </row>
    <row r="319" spans="1:43" s="168" customFormat="1">
      <c r="A319" s="178"/>
      <c r="B319" s="178"/>
      <c r="C319" s="178"/>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E319" s="169"/>
      <c r="AF319" s="179"/>
      <c r="AG319" s="179"/>
      <c r="AH319" s="176"/>
      <c r="AI319" s="176"/>
      <c r="AJ319" s="176"/>
      <c r="AK319" s="176"/>
      <c r="AL319" s="176"/>
      <c r="AM319" s="176"/>
      <c r="AN319" s="176"/>
      <c r="AO319" s="176"/>
      <c r="AP319" s="176"/>
      <c r="AQ319" s="176"/>
    </row>
    <row r="320" spans="1:43" s="168" customFormat="1">
      <c r="A320" s="178"/>
      <c r="B320" s="178"/>
      <c r="C320" s="178"/>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E320" s="169"/>
      <c r="AF320" s="179"/>
      <c r="AG320" s="179"/>
      <c r="AH320" s="176"/>
      <c r="AI320" s="176"/>
      <c r="AJ320" s="176"/>
      <c r="AK320" s="176"/>
      <c r="AL320" s="176"/>
      <c r="AM320" s="176"/>
      <c r="AN320" s="176"/>
      <c r="AO320" s="176"/>
      <c r="AP320" s="176"/>
      <c r="AQ320" s="176"/>
    </row>
    <row r="321" spans="1:43" s="168" customFormat="1">
      <c r="A321" s="178"/>
      <c r="B321" s="178"/>
      <c r="C321" s="178"/>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E321" s="169"/>
      <c r="AF321" s="179"/>
      <c r="AG321" s="179"/>
      <c r="AH321" s="176"/>
      <c r="AI321" s="176"/>
      <c r="AJ321" s="176"/>
      <c r="AK321" s="176"/>
      <c r="AL321" s="176"/>
      <c r="AM321" s="176"/>
      <c r="AN321" s="176"/>
      <c r="AO321" s="176"/>
      <c r="AP321" s="176"/>
      <c r="AQ321" s="176"/>
    </row>
    <row r="322" spans="1:43" s="168" customFormat="1">
      <c r="A322" s="178"/>
      <c r="B322" s="178"/>
      <c r="C322" s="178"/>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E322" s="169"/>
      <c r="AF322" s="179"/>
      <c r="AG322" s="179"/>
      <c r="AH322" s="176"/>
      <c r="AI322" s="176"/>
      <c r="AJ322" s="176"/>
      <c r="AK322" s="176"/>
      <c r="AL322" s="176"/>
      <c r="AM322" s="176"/>
      <c r="AN322" s="176"/>
      <c r="AO322" s="176"/>
      <c r="AP322" s="176"/>
      <c r="AQ322" s="176"/>
    </row>
    <row r="323" spans="1:43" s="168" customFormat="1">
      <c r="A323" s="178"/>
      <c r="B323" s="178"/>
      <c r="C323" s="178"/>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E323" s="169"/>
      <c r="AF323" s="179"/>
      <c r="AG323" s="179"/>
      <c r="AH323" s="176"/>
      <c r="AI323" s="176"/>
      <c r="AJ323" s="176"/>
      <c r="AK323" s="176"/>
      <c r="AL323" s="176"/>
      <c r="AM323" s="176"/>
      <c r="AN323" s="176"/>
      <c r="AO323" s="176"/>
      <c r="AP323" s="176"/>
      <c r="AQ323" s="176"/>
    </row>
    <row r="324" spans="1:43" s="168" customFormat="1">
      <c r="A324" s="178"/>
      <c r="B324" s="178"/>
      <c r="C324" s="178"/>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E324" s="169"/>
      <c r="AF324" s="179"/>
      <c r="AG324" s="179"/>
      <c r="AH324" s="176"/>
      <c r="AI324" s="176"/>
      <c r="AJ324" s="176"/>
      <c r="AK324" s="176"/>
      <c r="AL324" s="176"/>
      <c r="AM324" s="176"/>
      <c r="AN324" s="176"/>
      <c r="AO324" s="176"/>
      <c r="AP324" s="176"/>
      <c r="AQ324" s="176"/>
    </row>
    <row r="325" spans="1:43" s="168" customFormat="1">
      <c r="A325" s="178"/>
      <c r="B325" s="178"/>
      <c r="C325" s="178"/>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E325" s="169"/>
      <c r="AF325" s="179"/>
      <c r="AG325" s="179"/>
      <c r="AH325" s="176"/>
      <c r="AI325" s="176"/>
      <c r="AJ325" s="176"/>
      <c r="AK325" s="176"/>
      <c r="AL325" s="176"/>
      <c r="AM325" s="176"/>
      <c r="AN325" s="176"/>
      <c r="AO325" s="176"/>
      <c r="AP325" s="176"/>
      <c r="AQ325" s="176"/>
    </row>
    <row r="326" spans="1:43" s="168" customFormat="1">
      <c r="A326" s="178"/>
      <c r="B326" s="178"/>
      <c r="C326" s="178"/>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E326" s="169"/>
      <c r="AF326" s="179"/>
      <c r="AG326" s="179"/>
      <c r="AH326" s="176"/>
      <c r="AI326" s="176"/>
      <c r="AJ326" s="176"/>
      <c r="AK326" s="176"/>
      <c r="AL326" s="176"/>
      <c r="AM326" s="176"/>
      <c r="AN326" s="176"/>
      <c r="AO326" s="176"/>
      <c r="AP326" s="176"/>
      <c r="AQ326" s="176"/>
    </row>
    <row r="327" spans="1:43" s="168" customFormat="1">
      <c r="A327" s="178"/>
      <c r="B327" s="178"/>
      <c r="C327" s="178"/>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E327" s="169"/>
      <c r="AF327" s="179"/>
      <c r="AG327" s="179"/>
      <c r="AH327" s="176"/>
      <c r="AI327" s="176"/>
      <c r="AJ327" s="176"/>
      <c r="AK327" s="176"/>
      <c r="AL327" s="176"/>
      <c r="AM327" s="176"/>
      <c r="AN327" s="176"/>
      <c r="AO327" s="176"/>
      <c r="AP327" s="176"/>
      <c r="AQ327" s="176"/>
    </row>
    <row r="328" spans="1:43" s="168" customFormat="1">
      <c r="A328" s="178"/>
      <c r="B328" s="178"/>
      <c r="C328" s="178"/>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E328" s="169"/>
      <c r="AF328" s="179"/>
      <c r="AG328" s="179"/>
      <c r="AH328" s="176"/>
      <c r="AI328" s="176"/>
      <c r="AJ328" s="176"/>
      <c r="AK328" s="176"/>
      <c r="AL328" s="176"/>
      <c r="AM328" s="176"/>
      <c r="AN328" s="176"/>
      <c r="AO328" s="176"/>
      <c r="AP328" s="176"/>
      <c r="AQ328" s="176"/>
    </row>
    <row r="329" spans="1:43" s="168" customFormat="1">
      <c r="A329" s="178"/>
      <c r="B329" s="178"/>
      <c r="C329" s="178"/>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E329" s="169"/>
      <c r="AF329" s="179"/>
      <c r="AG329" s="179"/>
      <c r="AH329" s="176"/>
      <c r="AI329" s="176"/>
      <c r="AJ329" s="176"/>
      <c r="AK329" s="176"/>
      <c r="AL329" s="176"/>
      <c r="AM329" s="176"/>
      <c r="AN329" s="176"/>
      <c r="AO329" s="176"/>
      <c r="AP329" s="176"/>
      <c r="AQ329" s="176"/>
    </row>
    <row r="330" spans="1:43" s="168" customFormat="1">
      <c r="A330" s="178"/>
      <c r="B330" s="178"/>
      <c r="C330" s="178"/>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E330" s="169"/>
      <c r="AF330" s="179"/>
      <c r="AG330" s="179"/>
      <c r="AH330" s="176"/>
      <c r="AI330" s="176"/>
      <c r="AJ330" s="176"/>
      <c r="AK330" s="176"/>
      <c r="AL330" s="176"/>
      <c r="AM330" s="176"/>
      <c r="AN330" s="176"/>
      <c r="AO330" s="176"/>
      <c r="AP330" s="176"/>
      <c r="AQ330" s="176"/>
    </row>
    <row r="331" spans="1:43" s="168" customFormat="1">
      <c r="A331" s="178"/>
      <c r="B331" s="178"/>
      <c r="C331" s="178"/>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E331" s="169"/>
      <c r="AF331" s="179"/>
      <c r="AG331" s="179"/>
      <c r="AH331" s="176"/>
      <c r="AI331" s="176"/>
      <c r="AJ331" s="176"/>
      <c r="AK331" s="176"/>
      <c r="AL331" s="176"/>
      <c r="AM331" s="176"/>
      <c r="AN331" s="176"/>
      <c r="AO331" s="176"/>
      <c r="AP331" s="176"/>
      <c r="AQ331" s="176"/>
    </row>
    <row r="332" spans="1:43" s="168" customFormat="1">
      <c r="A332" s="178"/>
      <c r="B332" s="178"/>
      <c r="C332" s="178"/>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E332" s="169"/>
      <c r="AF332" s="179"/>
      <c r="AG332" s="179"/>
      <c r="AH332" s="176"/>
      <c r="AI332" s="176"/>
      <c r="AJ332" s="176"/>
      <c r="AK332" s="176"/>
      <c r="AL332" s="176"/>
      <c r="AM332" s="176"/>
      <c r="AN332" s="176"/>
      <c r="AO332" s="176"/>
      <c r="AP332" s="176"/>
      <c r="AQ332" s="176"/>
    </row>
    <row r="333" spans="1:43" s="168" customFormat="1">
      <c r="A333" s="178"/>
      <c r="B333" s="178"/>
      <c r="C333" s="178"/>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E333" s="169"/>
      <c r="AF333" s="179"/>
      <c r="AG333" s="179"/>
      <c r="AH333" s="176"/>
      <c r="AI333" s="176"/>
      <c r="AJ333" s="176"/>
      <c r="AK333" s="176"/>
      <c r="AL333" s="176"/>
      <c r="AM333" s="176"/>
      <c r="AN333" s="176"/>
      <c r="AO333" s="176"/>
      <c r="AP333" s="176"/>
      <c r="AQ333" s="176"/>
    </row>
    <row r="334" spans="1:43" s="168" customFormat="1">
      <c r="A334" s="178"/>
      <c r="B334" s="178"/>
      <c r="C334" s="178"/>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E334" s="169"/>
      <c r="AF334" s="179"/>
      <c r="AG334" s="179"/>
      <c r="AH334" s="176"/>
      <c r="AI334" s="176"/>
      <c r="AJ334" s="176"/>
      <c r="AK334" s="176"/>
      <c r="AL334" s="176"/>
      <c r="AM334" s="176"/>
      <c r="AN334" s="176"/>
      <c r="AO334" s="176"/>
      <c r="AP334" s="176"/>
      <c r="AQ334" s="176"/>
    </row>
    <row r="335" spans="1:43" s="168" customFormat="1">
      <c r="A335" s="178"/>
      <c r="B335" s="178"/>
      <c r="C335" s="178"/>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E335" s="169"/>
      <c r="AF335" s="179"/>
      <c r="AG335" s="179"/>
      <c r="AH335" s="176"/>
      <c r="AI335" s="176"/>
      <c r="AJ335" s="176"/>
      <c r="AK335" s="176"/>
      <c r="AL335" s="176"/>
      <c r="AM335" s="176"/>
      <c r="AN335" s="176"/>
      <c r="AO335" s="176"/>
      <c r="AP335" s="176"/>
      <c r="AQ335" s="176"/>
    </row>
    <row r="336" spans="1:43" s="168" customFormat="1">
      <c r="A336" s="178"/>
      <c r="B336" s="178"/>
      <c r="C336" s="178"/>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E336" s="169"/>
      <c r="AF336" s="179"/>
      <c r="AG336" s="179"/>
      <c r="AH336" s="176"/>
      <c r="AI336" s="176"/>
      <c r="AJ336" s="176"/>
      <c r="AK336" s="176"/>
      <c r="AL336" s="176"/>
      <c r="AM336" s="176"/>
      <c r="AN336" s="176"/>
      <c r="AO336" s="176"/>
      <c r="AP336" s="176"/>
      <c r="AQ336" s="176"/>
    </row>
    <row r="337" spans="1:43" s="168" customFormat="1">
      <c r="A337" s="178"/>
      <c r="B337" s="178"/>
      <c r="C337" s="178"/>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E337" s="169"/>
      <c r="AF337" s="179"/>
      <c r="AG337" s="179"/>
      <c r="AH337" s="176"/>
      <c r="AI337" s="176"/>
      <c r="AJ337" s="176"/>
      <c r="AK337" s="176"/>
      <c r="AL337" s="176"/>
      <c r="AM337" s="176"/>
      <c r="AN337" s="176"/>
      <c r="AO337" s="176"/>
      <c r="AP337" s="176"/>
      <c r="AQ337" s="176"/>
    </row>
    <row r="338" spans="1:43" s="168" customFormat="1">
      <c r="A338" s="178"/>
      <c r="B338" s="178"/>
      <c r="C338" s="178"/>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E338" s="169"/>
      <c r="AF338" s="179"/>
      <c r="AG338" s="179"/>
      <c r="AH338" s="176"/>
      <c r="AI338" s="176"/>
      <c r="AJ338" s="176"/>
      <c r="AK338" s="176"/>
      <c r="AL338" s="176"/>
      <c r="AM338" s="176"/>
      <c r="AN338" s="176"/>
      <c r="AO338" s="176"/>
      <c r="AP338" s="176"/>
      <c r="AQ338" s="176"/>
    </row>
    <row r="339" spans="1:43" s="168" customFormat="1">
      <c r="A339" s="178"/>
      <c r="B339" s="178"/>
      <c r="C339" s="178"/>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E339" s="169"/>
      <c r="AF339" s="179"/>
      <c r="AG339" s="179"/>
      <c r="AH339" s="176"/>
      <c r="AI339" s="176"/>
      <c r="AJ339" s="176"/>
      <c r="AK339" s="176"/>
      <c r="AL339" s="176"/>
      <c r="AM339" s="176"/>
      <c r="AN339" s="176"/>
      <c r="AO339" s="176"/>
      <c r="AP339" s="176"/>
      <c r="AQ339" s="176"/>
    </row>
    <row r="340" spans="1:43" s="168" customFormat="1">
      <c r="A340" s="178"/>
      <c r="B340" s="178"/>
      <c r="C340" s="178"/>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E340" s="169"/>
      <c r="AF340" s="179"/>
      <c r="AG340" s="179"/>
      <c r="AH340" s="176"/>
      <c r="AI340" s="176"/>
      <c r="AJ340" s="176"/>
      <c r="AK340" s="176"/>
      <c r="AL340" s="176"/>
      <c r="AM340" s="176"/>
      <c r="AN340" s="176"/>
      <c r="AO340" s="176"/>
      <c r="AP340" s="176"/>
      <c r="AQ340" s="176"/>
    </row>
    <row r="341" spans="1:43" s="168" customFormat="1">
      <c r="A341" s="178"/>
      <c r="B341" s="178"/>
      <c r="C341" s="178"/>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E341" s="169"/>
      <c r="AF341" s="179"/>
      <c r="AG341" s="179"/>
      <c r="AH341" s="176"/>
      <c r="AI341" s="176"/>
      <c r="AJ341" s="176"/>
      <c r="AK341" s="176"/>
      <c r="AL341" s="176"/>
      <c r="AM341" s="176"/>
      <c r="AN341" s="176"/>
      <c r="AO341" s="176"/>
      <c r="AP341" s="176"/>
      <c r="AQ341" s="176"/>
    </row>
    <row r="342" spans="1:43" s="168" customFormat="1">
      <c r="A342" s="178"/>
      <c r="B342" s="178"/>
      <c r="C342" s="178"/>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E342" s="169"/>
      <c r="AF342" s="179"/>
      <c r="AG342" s="179"/>
      <c r="AH342" s="176"/>
      <c r="AI342" s="176"/>
      <c r="AJ342" s="176"/>
      <c r="AK342" s="176"/>
      <c r="AL342" s="176"/>
      <c r="AM342" s="176"/>
      <c r="AN342" s="176"/>
      <c r="AO342" s="176"/>
      <c r="AP342" s="176"/>
      <c r="AQ342" s="176"/>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5" fitToHeight="0" orientation="portrait"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CF3164"/>
  <sheetViews>
    <sheetView view="pageBreakPreview" zoomScaleNormal="100" zoomScaleSheetLayoutView="100" workbookViewId="0">
      <pane xSplit="1" topLeftCell="B1" activePane="topRight" state="frozen"/>
      <selection pane="topRight" activeCell="AQ5" sqref="AQ5"/>
    </sheetView>
  </sheetViews>
  <sheetFormatPr defaultRowHeight="13.5" outlineLevelCol="1"/>
  <cols>
    <col min="1" max="1" width="48.7109375" style="33" customWidth="1"/>
    <col min="2" max="2" width="39.5703125" style="33" customWidth="1"/>
    <col min="3" max="3" width="2.7109375" style="33" hidden="1" customWidth="1"/>
    <col min="4" max="35" width="10.7109375" style="33" hidden="1" customWidth="1" outlineLevel="1"/>
    <col min="36" max="36" width="10.7109375" style="33" customWidth="1" collapsed="1"/>
    <col min="37" max="43" width="10.7109375" style="33" customWidth="1"/>
    <col min="44" max="84" width="9.140625" style="145"/>
    <col min="85" max="16384" width="9.140625" style="33"/>
  </cols>
  <sheetData>
    <row r="1" spans="1:84" ht="35.25" customHeight="1">
      <c r="A1" s="17" t="s">
        <v>796</v>
      </c>
      <c r="B1" s="17" t="s">
        <v>157</v>
      </c>
      <c r="C1" s="17"/>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338"/>
      <c r="AK1" s="5"/>
      <c r="AL1" s="5"/>
      <c r="AM1" s="5"/>
      <c r="AN1" s="5"/>
      <c r="AO1" s="5"/>
      <c r="AP1" s="5"/>
      <c r="AQ1" s="392" t="s">
        <v>800</v>
      </c>
    </row>
    <row r="2" spans="1:84" ht="14.25"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339"/>
      <c r="AK2" s="5"/>
      <c r="AL2" s="5"/>
      <c r="AM2" s="5"/>
      <c r="AN2" s="5"/>
      <c r="AO2" s="5"/>
      <c r="AP2" s="5"/>
      <c r="AQ2" s="392" t="s">
        <v>801</v>
      </c>
    </row>
    <row r="3" spans="1:84" s="126" customFormat="1" ht="18.75" customHeight="1" thickBot="1">
      <c r="A3" s="343" t="s">
        <v>391</v>
      </c>
      <c r="B3" s="305" t="s">
        <v>180</v>
      </c>
      <c r="C3" s="305"/>
      <c r="D3" s="305" t="s">
        <v>24</v>
      </c>
      <c r="E3" s="305" t="s">
        <v>25</v>
      </c>
      <c r="F3" s="305" t="s">
        <v>26</v>
      </c>
      <c r="G3" s="305" t="s">
        <v>27</v>
      </c>
      <c r="H3" s="305" t="s">
        <v>28</v>
      </c>
      <c r="I3" s="305" t="s">
        <v>29</v>
      </c>
      <c r="J3" s="305" t="s">
        <v>30</v>
      </c>
      <c r="K3" s="305" t="s">
        <v>31</v>
      </c>
      <c r="L3" s="305" t="s">
        <v>32</v>
      </c>
      <c r="M3" s="305" t="s">
        <v>33</v>
      </c>
      <c r="N3" s="305" t="s">
        <v>34</v>
      </c>
      <c r="O3" s="305" t="s">
        <v>35</v>
      </c>
      <c r="P3" s="305" t="s">
        <v>36</v>
      </c>
      <c r="Q3" s="305" t="s">
        <v>37</v>
      </c>
      <c r="R3" s="305" t="s">
        <v>38</v>
      </c>
      <c r="S3" s="305" t="s">
        <v>39</v>
      </c>
      <c r="T3" s="305" t="s">
        <v>40</v>
      </c>
      <c r="U3" s="305" t="s">
        <v>41</v>
      </c>
      <c r="V3" s="305" t="s">
        <v>42</v>
      </c>
      <c r="W3" s="305" t="s">
        <v>43</v>
      </c>
      <c r="X3" s="305" t="s">
        <v>110</v>
      </c>
      <c r="Y3" s="305" t="s">
        <v>111</v>
      </c>
      <c r="Z3" s="305" t="s">
        <v>113</v>
      </c>
      <c r="AA3" s="306" t="s">
        <v>120</v>
      </c>
      <c r="AB3" s="306" t="s">
        <v>114</v>
      </c>
      <c r="AC3" s="306" t="s">
        <v>116</v>
      </c>
      <c r="AD3" s="306" t="s">
        <v>117</v>
      </c>
      <c r="AE3" s="306" t="s">
        <v>119</v>
      </c>
      <c r="AF3" s="306" t="s">
        <v>121</v>
      </c>
      <c r="AG3" s="306" t="s">
        <v>123</v>
      </c>
      <c r="AH3" s="306" t="s">
        <v>124</v>
      </c>
      <c r="AI3" s="306" t="s">
        <v>125</v>
      </c>
      <c r="AJ3" s="306" t="s">
        <v>127</v>
      </c>
      <c r="AK3" s="306" t="s">
        <v>128</v>
      </c>
      <c r="AL3" s="306" t="s">
        <v>129</v>
      </c>
      <c r="AM3" s="306" t="s">
        <v>130</v>
      </c>
      <c r="AN3" s="306" t="s">
        <v>131</v>
      </c>
      <c r="AO3" s="306" t="s">
        <v>223</v>
      </c>
      <c r="AP3" s="306" t="s">
        <v>224</v>
      </c>
      <c r="AQ3" s="344" t="s">
        <v>511</v>
      </c>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row>
    <row r="4" spans="1:84" ht="15.75" customHeight="1">
      <c r="A4" s="444" t="s">
        <v>766</v>
      </c>
      <c r="B4" s="1192" t="s">
        <v>192</v>
      </c>
      <c r="C4" s="1192"/>
      <c r="D4" s="1193">
        <v>-2.6659999999999999</v>
      </c>
      <c r="E4" s="1193">
        <v>-2.7920000000000003</v>
      </c>
      <c r="F4" s="1193">
        <v>2.23</v>
      </c>
      <c r="G4" s="1193">
        <v>-6.4000000000000057E-2</v>
      </c>
      <c r="H4" s="1193">
        <v>-1.028</v>
      </c>
      <c r="I4" s="1193">
        <v>5.7000000000000051E-2</v>
      </c>
      <c r="J4" s="1193">
        <v>0.11399999999999999</v>
      </c>
      <c r="K4" s="1193">
        <v>-0.46199999999999974</v>
      </c>
      <c r="L4" s="1193">
        <v>-8.0000000000000002E-3</v>
      </c>
      <c r="M4" s="1193">
        <v>-2E-3</v>
      </c>
      <c r="N4" s="1193">
        <v>-1.974</v>
      </c>
      <c r="O4" s="1193">
        <v>3.3140000000000001</v>
      </c>
      <c r="P4" s="1193">
        <v>0</v>
      </c>
      <c r="Q4" s="1193">
        <v>-8.1319999999999997</v>
      </c>
      <c r="R4" s="1193">
        <v>0</v>
      </c>
      <c r="S4" s="1193">
        <v>-5.4039999999999999</v>
      </c>
      <c r="T4" s="1193">
        <v>-0.14199999999999999</v>
      </c>
      <c r="U4" s="1193">
        <v>0.14199999999999999</v>
      </c>
      <c r="V4" s="1193">
        <v>-2.7879999999999998</v>
      </c>
      <c r="W4" s="1193">
        <v>-13.395</v>
      </c>
      <c r="X4" s="1193">
        <v>-4.8000000000000001E-2</v>
      </c>
      <c r="Y4" s="1193">
        <v>-4.2999999999999997E-2</v>
      </c>
      <c r="Z4" s="1193">
        <v>-3.2000000000000001E-2</v>
      </c>
      <c r="AA4" s="1193">
        <v>-126.55199999999999</v>
      </c>
      <c r="AB4" s="1193">
        <v>-6.4489999999999998</v>
      </c>
      <c r="AC4" s="1193">
        <v>1.0279999999999996</v>
      </c>
      <c r="AD4" s="1193">
        <v>-29.975999999999999</v>
      </c>
      <c r="AE4" s="1193">
        <v>-22.402999999999999</v>
      </c>
      <c r="AF4" s="1193">
        <v>-31.777999999999999</v>
      </c>
      <c r="AG4" s="1193">
        <v>-8.2490000000000023</v>
      </c>
      <c r="AH4" s="1193">
        <v>0</v>
      </c>
      <c r="AI4" s="1193">
        <v>-11.972999999999999</v>
      </c>
      <c r="AJ4" s="1194">
        <f>AJ5+AJ6</f>
        <v>11</v>
      </c>
      <c r="AK4" s="1194">
        <v>13</v>
      </c>
      <c r="AL4" s="1194">
        <f t="shared" ref="AL4" si="0">AL5+AL6</f>
        <v>4</v>
      </c>
      <c r="AM4" s="1194">
        <v>-52</v>
      </c>
      <c r="AN4" s="1193">
        <v>4</v>
      </c>
      <c r="AO4" s="1193">
        <f t="shared" ref="AO4:AP4" si="1">AO5+AO6</f>
        <v>2</v>
      </c>
      <c r="AP4" s="1193">
        <f t="shared" si="1"/>
        <v>0</v>
      </c>
      <c r="AQ4" s="1195">
        <v>-17</v>
      </c>
    </row>
    <row r="5" spans="1:84" s="70" customFormat="1" ht="15.75" customHeight="1">
      <c r="A5" s="1144" t="s">
        <v>509</v>
      </c>
      <c r="B5" s="1176" t="s">
        <v>582</v>
      </c>
      <c r="C5" s="1176"/>
      <c r="D5" s="1177"/>
      <c r="E5" s="1177"/>
      <c r="F5" s="1177"/>
      <c r="G5" s="1177"/>
      <c r="H5" s="1177"/>
      <c r="I5" s="1177"/>
      <c r="J5" s="1177"/>
      <c r="K5" s="1177"/>
      <c r="L5" s="1177"/>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8">
        <v>18</v>
      </c>
      <c r="AK5" s="1179">
        <v>17</v>
      </c>
      <c r="AL5" s="1179">
        <v>5</v>
      </c>
      <c r="AM5" s="1179">
        <v>-51</v>
      </c>
      <c r="AN5" s="1179">
        <v>0</v>
      </c>
      <c r="AO5" s="1179"/>
      <c r="AP5" s="1179">
        <v>0</v>
      </c>
      <c r="AQ5" s="1175">
        <v>0</v>
      </c>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row>
    <row r="6" spans="1:84" s="70" customFormat="1" ht="15.75" customHeight="1">
      <c r="A6" s="1144" t="s">
        <v>510</v>
      </c>
      <c r="B6" s="1176" t="s">
        <v>385</v>
      </c>
      <c r="C6" s="1176"/>
      <c r="D6" s="1177"/>
      <c r="E6" s="1177"/>
      <c r="F6" s="1177"/>
      <c r="G6" s="1177"/>
      <c r="H6" s="1177"/>
      <c r="I6" s="1177"/>
      <c r="J6" s="1177"/>
      <c r="K6" s="1177"/>
      <c r="L6" s="1177"/>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8">
        <v>-7</v>
      </c>
      <c r="AK6" s="1179">
        <v>-4</v>
      </c>
      <c r="AL6" s="1179">
        <v>-1</v>
      </c>
      <c r="AM6" s="1179">
        <v>-1</v>
      </c>
      <c r="AN6" s="1179">
        <v>4</v>
      </c>
      <c r="AO6" s="1179">
        <v>2</v>
      </c>
      <c r="AP6" s="1179">
        <v>0</v>
      </c>
      <c r="AQ6" s="1175">
        <v>-17</v>
      </c>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row>
    <row r="7" spans="1:84" ht="25.5" customHeight="1">
      <c r="A7" s="410" t="s">
        <v>797</v>
      </c>
      <c r="B7" s="540" t="s">
        <v>583</v>
      </c>
      <c r="C7" s="540"/>
      <c r="D7" s="1173">
        <v>-354.25900000000001</v>
      </c>
      <c r="E7" s="1173">
        <v>-393.67099999999994</v>
      </c>
      <c r="F7" s="1173">
        <v>-370.92300000000012</v>
      </c>
      <c r="G7" s="1173">
        <v>-464.52300000000002</v>
      </c>
      <c r="H7" s="1173">
        <v>-441.363</v>
      </c>
      <c r="I7" s="1173">
        <v>-437.34899999999999</v>
      </c>
      <c r="J7" s="1173">
        <v>-503.00399999999996</v>
      </c>
      <c r="K7" s="1173">
        <v>-365.23700000000014</v>
      </c>
      <c r="L7" s="1173">
        <f>-0.092-422.11</f>
        <v>-422.202</v>
      </c>
      <c r="M7" s="1173">
        <v>-421.524</v>
      </c>
      <c r="N7" s="1173">
        <v>-474.95799999999997</v>
      </c>
      <c r="O7" s="1173">
        <v>-520.053</v>
      </c>
      <c r="P7" s="1173">
        <f>-0.122-518.396</f>
        <v>-518.51799999999992</v>
      </c>
      <c r="Q7" s="1173">
        <v>-511.24699999999996</v>
      </c>
      <c r="R7" s="1173">
        <v>-566.90600000000006</v>
      </c>
      <c r="S7" s="1173">
        <v>-541.48799999999994</v>
      </c>
      <c r="T7" s="1173">
        <f>-0.033-477.118</f>
        <v>-477.15100000000001</v>
      </c>
      <c r="U7" s="1173">
        <v>-455.76999999999992</v>
      </c>
      <c r="V7" s="1173">
        <v>-501.42899999999992</v>
      </c>
      <c r="W7" s="1173">
        <v>-593.98299999999995</v>
      </c>
      <c r="X7" s="1173">
        <f>-0.592-409.084</f>
        <v>-409.67599999999999</v>
      </c>
      <c r="Y7" s="1173">
        <v>-518.62599999999998</v>
      </c>
      <c r="Z7" s="1173">
        <v>-342.91199999999998</v>
      </c>
      <c r="AA7" s="1173">
        <v>-437.68300000000016</v>
      </c>
      <c r="AB7" s="1173">
        <f>-0.594-349.335</f>
        <v>-349.92899999999997</v>
      </c>
      <c r="AC7" s="1173">
        <v>-382.01300000000003</v>
      </c>
      <c r="AD7" s="1173">
        <v>-309.13400000000001</v>
      </c>
      <c r="AE7" s="1173">
        <v>-354.12400000000002</v>
      </c>
      <c r="AF7" s="1173">
        <f>-1.078-345.457</f>
        <v>-346.53499999999997</v>
      </c>
      <c r="AG7" s="1173">
        <v>-374.12700000000007</v>
      </c>
      <c r="AH7" s="1173">
        <v>-371</v>
      </c>
      <c r="AI7" s="1173">
        <v>-411.93799999999987</v>
      </c>
      <c r="AJ7" s="1173">
        <v>-377</v>
      </c>
      <c r="AK7" s="1180">
        <v>-373</v>
      </c>
      <c r="AL7" s="1173">
        <v>-395</v>
      </c>
      <c r="AM7" s="1173">
        <v>-359</v>
      </c>
      <c r="AN7" s="1173">
        <v>-335</v>
      </c>
      <c r="AO7" s="1173">
        <v>-354</v>
      </c>
      <c r="AP7" s="1173">
        <v>-322</v>
      </c>
      <c r="AQ7" s="1175">
        <v>-280</v>
      </c>
    </row>
    <row r="8" spans="1:84" s="19" customFormat="1" ht="15.75" customHeight="1">
      <c r="A8" s="645" t="s">
        <v>52</v>
      </c>
      <c r="B8" s="540" t="s">
        <v>508</v>
      </c>
      <c r="C8" s="540"/>
      <c r="D8" s="1174">
        <v>-3.3330000000000002</v>
      </c>
      <c r="E8" s="1174">
        <v>3.3330000000000002</v>
      </c>
      <c r="F8" s="1174">
        <v>0</v>
      </c>
      <c r="G8" s="1174">
        <v>-3.8759999999999994</v>
      </c>
      <c r="H8" s="1174">
        <v>6.4000000000000001E-2</v>
      </c>
      <c r="I8" s="1174">
        <v>-2.0000000000000004E-2</v>
      </c>
      <c r="J8" s="1174">
        <v>-48.686</v>
      </c>
      <c r="K8" s="1174">
        <v>-6.468</v>
      </c>
      <c r="L8" s="1174">
        <v>1.9930000000000001</v>
      </c>
      <c r="M8" s="1174">
        <v>-2.6360000000000001</v>
      </c>
      <c r="N8" s="1174">
        <v>-0.75099999999999989</v>
      </c>
      <c r="O8" s="1174">
        <v>-27.420999999999999</v>
      </c>
      <c r="P8" s="1174">
        <v>-2.4649999999999999</v>
      </c>
      <c r="Q8" s="1174">
        <v>-3.0609999999999999</v>
      </c>
      <c r="R8" s="1174">
        <v>-3.3239999999999998</v>
      </c>
      <c r="S8" s="1174">
        <v>-15.422999999999998</v>
      </c>
      <c r="T8" s="1174">
        <v>2.782</v>
      </c>
      <c r="U8" s="1174">
        <v>6.2379999999999995</v>
      </c>
      <c r="V8" s="1174">
        <v>-10.78</v>
      </c>
      <c r="W8" s="1174">
        <v>-1.5460000000000003</v>
      </c>
      <c r="X8" s="1174">
        <v>8.8360000000000003</v>
      </c>
      <c r="Y8" s="1174">
        <v>-9.6020000000000003</v>
      </c>
      <c r="Z8" s="1174">
        <v>-5.9959999999999996</v>
      </c>
      <c r="AA8" s="1174">
        <v>8.3450000000000006</v>
      </c>
      <c r="AB8" s="1174">
        <v>28.748999999999999</v>
      </c>
      <c r="AC8" s="1174">
        <v>4.5000000000001705E-2</v>
      </c>
      <c r="AD8" s="1174">
        <v>-3.1589999999999989</v>
      </c>
      <c r="AE8" s="1174">
        <v>-6.735000000000003</v>
      </c>
      <c r="AF8" s="1174">
        <v>-3.2850000000000001</v>
      </c>
      <c r="AG8" s="1174">
        <v>0.82100000000000017</v>
      </c>
      <c r="AH8" s="1174">
        <v>-15</v>
      </c>
      <c r="AI8" s="1174">
        <v>-12.836000000000002</v>
      </c>
      <c r="AJ8" s="1174">
        <v>-12</v>
      </c>
      <c r="AK8" s="1174">
        <v>-1</v>
      </c>
      <c r="AL8" s="1180">
        <v>-12</v>
      </c>
      <c r="AM8" s="1180">
        <v>-1</v>
      </c>
      <c r="AN8" s="1174">
        <v>-2</v>
      </c>
      <c r="AO8" s="1174">
        <v>1</v>
      </c>
      <c r="AP8" s="1174">
        <v>12</v>
      </c>
      <c r="AQ8" s="1175">
        <v>-43</v>
      </c>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row>
    <row r="9" spans="1:84" s="19" customFormat="1" ht="15.75" customHeight="1">
      <c r="A9" s="645" t="s">
        <v>581</v>
      </c>
      <c r="B9" s="540" t="s">
        <v>584</v>
      </c>
      <c r="C9" s="540"/>
      <c r="D9" s="1174">
        <v>-13.364000000000001</v>
      </c>
      <c r="E9" s="1174">
        <v>2.6710000000000003</v>
      </c>
      <c r="F9" s="1174">
        <v>4.5090000000000003</v>
      </c>
      <c r="G9" s="1174">
        <v>-84.346999999999994</v>
      </c>
      <c r="H9" s="1174">
        <v>17.193999999999999</v>
      </c>
      <c r="I9" s="1174">
        <v>-20.695</v>
      </c>
      <c r="J9" s="1174">
        <v>-7.2209999999999965</v>
      </c>
      <c r="K9" s="1174">
        <v>-54.260000000000005</v>
      </c>
      <c r="L9" s="1174">
        <v>-18.190999999999999</v>
      </c>
      <c r="M9" s="1174">
        <v>-18.830000000000002</v>
      </c>
      <c r="N9" s="1174">
        <v>-10.073000000000002</v>
      </c>
      <c r="O9" s="1174">
        <v>-17.131</v>
      </c>
      <c r="P9" s="1174">
        <v>-6.543000000000001</v>
      </c>
      <c r="Q9" s="1174">
        <v>-51.319000000000003</v>
      </c>
      <c r="R9" s="1174">
        <v>-87.396999999999991</v>
      </c>
      <c r="S9" s="1174">
        <v>-4.0010000000000083</v>
      </c>
      <c r="T9" s="1174">
        <v>26.527999999999999</v>
      </c>
      <c r="U9" s="1174">
        <v>30.454000000000004</v>
      </c>
      <c r="V9" s="1174">
        <v>27.233999999999998</v>
      </c>
      <c r="W9" s="1174">
        <v>-74.275000000000006</v>
      </c>
      <c r="X9" s="1174">
        <v>-12.569999999999997</v>
      </c>
      <c r="Y9" s="1174">
        <v>-29.411999999999999</v>
      </c>
      <c r="Z9" s="1174">
        <v>-126.25899999999999</v>
      </c>
      <c r="AA9" s="1174">
        <v>103.55999999999999</v>
      </c>
      <c r="AB9" s="1174">
        <v>-45.949999999999996</v>
      </c>
      <c r="AC9" s="1174">
        <v>5.87</v>
      </c>
      <c r="AD9" s="1174">
        <v>-19.797000000000004</v>
      </c>
      <c r="AE9" s="1174">
        <v>18.077000000000005</v>
      </c>
      <c r="AF9" s="1174">
        <v>-0.56799999999999917</v>
      </c>
      <c r="AG9" s="1174">
        <v>-18.647000000000002</v>
      </c>
      <c r="AH9" s="1174">
        <v>-33</v>
      </c>
      <c r="AI9" s="1174">
        <v>15.415000000000006</v>
      </c>
      <c r="AJ9" s="1174">
        <v>-16</v>
      </c>
      <c r="AK9" s="1174">
        <v>-33</v>
      </c>
      <c r="AL9" s="1174">
        <f>-1-1+13</f>
        <v>11</v>
      </c>
      <c r="AM9" s="1174">
        <v>-25</v>
      </c>
      <c r="AN9" s="1174">
        <v>-1</v>
      </c>
      <c r="AO9" s="1174">
        <v>-25</v>
      </c>
      <c r="AP9" s="1174">
        <f>-1-13-4</f>
        <v>-18</v>
      </c>
      <c r="AQ9" s="1175">
        <v>-73</v>
      </c>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row>
    <row r="10" spans="1:84" s="65" customFormat="1" ht="15.75" customHeight="1">
      <c r="A10" s="653" t="s">
        <v>228</v>
      </c>
      <c r="B10" s="784" t="s">
        <v>353</v>
      </c>
      <c r="C10" s="784"/>
      <c r="D10" s="1181">
        <v>-373.62200000000001</v>
      </c>
      <c r="E10" s="1181">
        <v>-390.459</v>
      </c>
      <c r="F10" s="1181">
        <v>-364.18400000000003</v>
      </c>
      <c r="G10" s="1181">
        <v>-552.80999999999995</v>
      </c>
      <c r="H10" s="1181">
        <v>-425.13299999999998</v>
      </c>
      <c r="I10" s="1181">
        <v>-458.15100000000001</v>
      </c>
      <c r="J10" s="1181">
        <v>-558.65299999999979</v>
      </c>
      <c r="K10" s="1181">
        <v>-426.42700000000019</v>
      </c>
      <c r="L10" s="1181">
        <v>-438.40800000000002</v>
      </c>
      <c r="M10" s="1181">
        <v>-442.99199999999996</v>
      </c>
      <c r="N10" s="1181">
        <v>-487.73599999999999</v>
      </c>
      <c r="O10" s="1181">
        <v>-561.31099999999981</v>
      </c>
      <c r="P10" s="1181">
        <v>-527.52599999999995</v>
      </c>
      <c r="Q10" s="1181">
        <v>-573.75900000000013</v>
      </c>
      <c r="R10" s="1181">
        <v>-657.62699999999984</v>
      </c>
      <c r="S10" s="1181">
        <v>-566.31600000000014</v>
      </c>
      <c r="T10" s="1181">
        <v>-447.983</v>
      </c>
      <c r="U10" s="1181">
        <v>-418.93599999999998</v>
      </c>
      <c r="V10" s="1181">
        <v>-487.76300000000009</v>
      </c>
      <c r="W10" s="1181">
        <v>-683.19900000000007</v>
      </c>
      <c r="X10" s="1181">
        <v>-413.45800000000003</v>
      </c>
      <c r="Y10" s="1181">
        <v>-557.68299999999999</v>
      </c>
      <c r="Z10" s="1181">
        <v>-475.20899999999989</v>
      </c>
      <c r="AA10" s="1181">
        <v>-452.32000000000022</v>
      </c>
      <c r="AB10" s="1181">
        <v>-373.57900000000001</v>
      </c>
      <c r="AC10" s="1181">
        <v>-375.07</v>
      </c>
      <c r="AD10" s="1181">
        <v>-362.31599999999997</v>
      </c>
      <c r="AE10" s="1181">
        <v>-364.93500000000012</v>
      </c>
      <c r="AF10" s="1181">
        <v>-382.166</v>
      </c>
      <c r="AG10" s="1181">
        <v>-400.20200000000006</v>
      </c>
      <c r="AH10" s="1181">
        <v>-419</v>
      </c>
      <c r="AI10" s="1181">
        <v>-421.33200000000005</v>
      </c>
      <c r="AJ10" s="1181">
        <v>-394</v>
      </c>
      <c r="AK10" s="1181">
        <v>-393</v>
      </c>
      <c r="AL10" s="1181">
        <v>-392</v>
      </c>
      <c r="AM10" s="1181">
        <v>-438</v>
      </c>
      <c r="AN10" s="1181">
        <v>-333</v>
      </c>
      <c r="AO10" s="1181">
        <v>-377</v>
      </c>
      <c r="AP10" s="1181">
        <v>-328</v>
      </c>
      <c r="AQ10" s="1182">
        <v>-412.6</v>
      </c>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row>
    <row r="11" spans="1:84" ht="36.75">
      <c r="A11" s="71" t="s">
        <v>512</v>
      </c>
      <c r="B11" s="71" t="s">
        <v>727</v>
      </c>
      <c r="C11" s="71"/>
      <c r="AJ11" s="1337"/>
    </row>
    <row r="12" spans="1:84" ht="14.25" thickBot="1"/>
    <row r="13" spans="1:84" s="126" customFormat="1" ht="19.5" customHeight="1" thickBot="1">
      <c r="A13" s="343" t="s">
        <v>391</v>
      </c>
      <c r="B13" s="305" t="s">
        <v>180</v>
      </c>
      <c r="C13" s="305"/>
      <c r="D13" s="305" t="s">
        <v>24</v>
      </c>
      <c r="E13" s="305" t="s">
        <v>25</v>
      </c>
      <c r="F13" s="305" t="s">
        <v>26</v>
      </c>
      <c r="G13" s="305" t="s">
        <v>27</v>
      </c>
      <c r="H13" s="305" t="s">
        <v>28</v>
      </c>
      <c r="I13" s="305" t="s">
        <v>29</v>
      </c>
      <c r="J13" s="305" t="s">
        <v>30</v>
      </c>
      <c r="K13" s="305" t="s">
        <v>31</v>
      </c>
      <c r="L13" s="305" t="s">
        <v>32</v>
      </c>
      <c r="M13" s="305" t="s">
        <v>33</v>
      </c>
      <c r="N13" s="305" t="s">
        <v>34</v>
      </c>
      <c r="O13" s="305" t="s">
        <v>35</v>
      </c>
      <c r="P13" s="305" t="s">
        <v>36</v>
      </c>
      <c r="Q13" s="305" t="s">
        <v>37</v>
      </c>
      <c r="R13" s="305" t="s">
        <v>38</v>
      </c>
      <c r="S13" s="305" t="s">
        <v>39</v>
      </c>
      <c r="T13" s="305" t="s">
        <v>40</v>
      </c>
      <c r="U13" s="305" t="s">
        <v>41</v>
      </c>
      <c r="V13" s="305" t="s">
        <v>42</v>
      </c>
      <c r="W13" s="305" t="s">
        <v>43</v>
      </c>
      <c r="X13" s="305" t="s">
        <v>110</v>
      </c>
      <c r="Y13" s="305" t="s">
        <v>111</v>
      </c>
      <c r="Z13" s="305" t="s">
        <v>113</v>
      </c>
      <c r="AA13" s="306" t="s">
        <v>120</v>
      </c>
      <c r="AB13" s="306" t="s">
        <v>114</v>
      </c>
      <c r="AC13" s="306" t="s">
        <v>116</v>
      </c>
      <c r="AD13" s="306" t="s">
        <v>117</v>
      </c>
      <c r="AE13" s="306" t="s">
        <v>119</v>
      </c>
      <c r="AF13" s="306" t="s">
        <v>121</v>
      </c>
      <c r="AG13" s="306" t="s">
        <v>123</v>
      </c>
      <c r="AH13" s="306" t="s">
        <v>124</v>
      </c>
      <c r="AI13" s="306" t="s">
        <v>125</v>
      </c>
      <c r="AJ13" s="306" t="s">
        <v>127</v>
      </c>
      <c r="AK13" s="306" t="s">
        <v>128</v>
      </c>
      <c r="AL13" s="306" t="s">
        <v>129</v>
      </c>
      <c r="AM13" s="306" t="s">
        <v>130</v>
      </c>
      <c r="AN13" s="306" t="s">
        <v>131</v>
      </c>
      <c r="AO13" s="306" t="s">
        <v>223</v>
      </c>
      <c r="AP13" s="306" t="s">
        <v>224</v>
      </c>
      <c r="AQ13" s="344" t="s">
        <v>511</v>
      </c>
      <c r="AR13" s="162"/>
      <c r="AS13" s="162"/>
      <c r="AT13" s="162"/>
      <c r="AU13" s="162"/>
      <c r="AV13" s="162" t="s">
        <v>767</v>
      </c>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row>
    <row r="14" spans="1:84" s="54" customFormat="1" ht="15.75">
      <c r="A14" s="1051" t="s">
        <v>588</v>
      </c>
      <c r="B14" s="1196" t="s">
        <v>726</v>
      </c>
      <c r="C14" s="1196"/>
      <c r="D14" s="1197"/>
      <c r="E14" s="1197"/>
      <c r="F14" s="1197"/>
      <c r="G14" s="1197"/>
      <c r="H14" s="1198">
        <f>SUM(H15:H18)</f>
        <v>-441.33115638498623</v>
      </c>
      <c r="I14" s="1198">
        <f t="shared" ref="I14:O14" si="2">SUM(I15:I18)</f>
        <v>-436.37029029655093</v>
      </c>
      <c r="J14" s="1198">
        <f t="shared" si="2"/>
        <v>-503.20333264881333</v>
      </c>
      <c r="K14" s="1198">
        <f t="shared" si="2"/>
        <v>-365.23268409114223</v>
      </c>
      <c r="L14" s="1198">
        <f t="shared" si="2"/>
        <v>-422.13368408574604</v>
      </c>
      <c r="M14" s="1198">
        <f t="shared" si="2"/>
        <v>-421.45668751861945</v>
      </c>
      <c r="N14" s="1198">
        <f t="shared" si="2"/>
        <v>-474.93641843795962</v>
      </c>
      <c r="O14" s="1198">
        <f t="shared" si="2"/>
        <v>-518.1</v>
      </c>
      <c r="P14" s="1198">
        <f t="shared" ref="P14" si="3">SUM(P15:P18)</f>
        <v>-518.5</v>
      </c>
      <c r="Q14" s="1198">
        <f t="shared" ref="Q14" si="4">SUM(Q15:Q18)</f>
        <v>-512</v>
      </c>
      <c r="R14" s="1198">
        <f t="shared" ref="R14" si="5">SUM(R15:R18)</f>
        <v>-566.4</v>
      </c>
      <c r="S14" s="1198">
        <f t="shared" ref="S14" si="6">SUM(S15:S18)</f>
        <v>-541.4</v>
      </c>
      <c r="T14" s="1198">
        <f t="shared" ref="T14" si="7">SUM(T15:T18)</f>
        <v>-477.2</v>
      </c>
      <c r="U14" s="1198">
        <f t="shared" ref="U14:V14" si="8">SUM(U15:U18)</f>
        <v>-455.2</v>
      </c>
      <c r="V14" s="1198">
        <f t="shared" si="8"/>
        <v>-501.59999999999997</v>
      </c>
      <c r="W14" s="1198">
        <f t="shared" ref="W14" si="9">SUM(W15:W18)</f>
        <v>-594.40000000000009</v>
      </c>
      <c r="X14" s="1198">
        <f t="shared" ref="X14" si="10">SUM(X15:X18)</f>
        <v>-409.1</v>
      </c>
      <c r="Y14" s="1198">
        <f t="shared" ref="Y14" si="11">SUM(Y15:Y18)</f>
        <v>-518.9</v>
      </c>
      <c r="Z14" s="1198">
        <f t="shared" ref="Z14" si="12">SUM(Z15:Z18)</f>
        <v>-367.5</v>
      </c>
      <c r="AA14" s="1198">
        <f t="shared" ref="AA14" si="13">SUM(AA15:AA18)</f>
        <v>-438.3</v>
      </c>
      <c r="AB14" s="1198">
        <f t="shared" ref="AB14:AC14" si="14">SUM(AB15:AB18)</f>
        <v>-349.30000000000007</v>
      </c>
      <c r="AC14" s="1198">
        <f t="shared" si="14"/>
        <v>-382.5</v>
      </c>
      <c r="AD14" s="1198">
        <f t="shared" ref="AD14" si="15">SUM(AD15:AD18)</f>
        <v>-309.40000000000003</v>
      </c>
      <c r="AE14" s="1198">
        <f t="shared" ref="AE14" si="16">SUM(AE15:AE18)</f>
        <v>-354</v>
      </c>
      <c r="AF14" s="1198">
        <f t="shared" ref="AF14" si="17">SUM(AF15:AF18)</f>
        <v>-345.5</v>
      </c>
      <c r="AG14" s="1198">
        <f t="shared" ref="AG14" si="18">SUM(AG15:AG18)</f>
        <v>-374.9</v>
      </c>
      <c r="AH14" s="1198">
        <f t="shared" ref="AH14" si="19">SUM(AH15:AH18)</f>
        <v>-371.7</v>
      </c>
      <c r="AI14" s="1198">
        <f t="shared" ref="AI14" si="20">SUM(AI15:AI18)</f>
        <v>-411.6</v>
      </c>
      <c r="AJ14" s="1199">
        <v>-376.74952349543742</v>
      </c>
      <c r="AK14" s="1199">
        <v>-373.21078199973294</v>
      </c>
      <c r="AL14" s="1199">
        <v>-395.15265953897961</v>
      </c>
      <c r="AM14" s="1199">
        <v>-358.62852837104856</v>
      </c>
      <c r="AN14" s="1199">
        <v>-335.50198806565334</v>
      </c>
      <c r="AO14" s="1199">
        <v>-351.45524911557857</v>
      </c>
      <c r="AP14" s="1199">
        <v>-326.03916629703417</v>
      </c>
      <c r="AQ14" s="1200">
        <v>-289</v>
      </c>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row>
    <row r="15" spans="1:84">
      <c r="A15" s="1144" t="s">
        <v>596</v>
      </c>
      <c r="B15" s="1145" t="s">
        <v>522</v>
      </c>
      <c r="C15" s="1145"/>
      <c r="D15" s="769"/>
      <c r="E15" s="769"/>
      <c r="F15" s="769"/>
      <c r="G15" s="769"/>
      <c r="H15" s="1173">
        <v>-252.15898887564165</v>
      </c>
      <c r="I15" s="1173">
        <v>-184.04690285396086</v>
      </c>
      <c r="J15" s="1173">
        <v>-213.18915540085595</v>
      </c>
      <c r="K15" s="1173">
        <v>-164.25065501683684</v>
      </c>
      <c r="L15" s="1173">
        <v>-209.94020677858865</v>
      </c>
      <c r="M15" s="1173">
        <v>-139.73672811695965</v>
      </c>
      <c r="N15" s="1173">
        <v>-183.85541799359072</v>
      </c>
      <c r="O15" s="1173">
        <v>-117.4</v>
      </c>
      <c r="P15" s="1173">
        <v>-165.2</v>
      </c>
      <c r="Q15" s="1173">
        <v>-160.19999999999999</v>
      </c>
      <c r="R15" s="1173">
        <v>-154.6</v>
      </c>
      <c r="S15" s="1173">
        <v>-88.5</v>
      </c>
      <c r="T15" s="1173">
        <v>-82</v>
      </c>
      <c r="U15" s="537">
        <v>-108</v>
      </c>
      <c r="V15" s="537">
        <v>-113.1</v>
      </c>
      <c r="W15" s="537">
        <v>-109.4</v>
      </c>
      <c r="X15" s="537">
        <v>-42.4</v>
      </c>
      <c r="Y15" s="1173">
        <v>-64.8</v>
      </c>
      <c r="Z15" s="1173">
        <v>-52.8</v>
      </c>
      <c r="AA15" s="1173">
        <v>-79.2</v>
      </c>
      <c r="AB15" s="1173">
        <v>-89.7</v>
      </c>
      <c r="AC15" s="1173">
        <v>-94</v>
      </c>
      <c r="AD15" s="1173">
        <v>-73.900000000000006</v>
      </c>
      <c r="AE15" s="1173">
        <v>-80.400000000000006</v>
      </c>
      <c r="AF15" s="1173">
        <v>-80.3</v>
      </c>
      <c r="AG15" s="1173">
        <v>-93.8</v>
      </c>
      <c r="AH15" s="1173">
        <v>-91.3</v>
      </c>
      <c r="AI15" s="1173">
        <v>-79.5</v>
      </c>
      <c r="AJ15" s="1183">
        <v>-121.00000355011038</v>
      </c>
      <c r="AK15" s="1183">
        <v>-128.00000718973348</v>
      </c>
      <c r="AL15" s="1183">
        <v>-141.99970679477275</v>
      </c>
      <c r="AM15" s="1183">
        <v>-107.95697411613156</v>
      </c>
      <c r="AN15" s="1183">
        <v>-134.8807651607336</v>
      </c>
      <c r="AO15" s="1183">
        <v>-109.78756781675651</v>
      </c>
      <c r="AP15" s="1183">
        <v>-151.32798765591738</v>
      </c>
      <c r="AQ15" s="1184">
        <v>-166</v>
      </c>
    </row>
    <row r="16" spans="1:84">
      <c r="A16" s="1144" t="s">
        <v>590</v>
      </c>
      <c r="B16" s="1145" t="s">
        <v>723</v>
      </c>
      <c r="C16" s="1145"/>
      <c r="D16" s="769"/>
      <c r="E16" s="769"/>
      <c r="F16" s="769"/>
      <c r="G16" s="769"/>
      <c r="H16" s="1173">
        <v>-93.672167509344604</v>
      </c>
      <c r="I16" s="1173">
        <v>-97.523387442590121</v>
      </c>
      <c r="J16" s="1173">
        <v>-68.214177247957394</v>
      </c>
      <c r="K16" s="1173">
        <v>1.9179709256945898</v>
      </c>
      <c r="L16" s="1173">
        <v>-131.0934773071574</v>
      </c>
      <c r="M16" s="1173">
        <v>-147.6199594016598</v>
      </c>
      <c r="N16" s="1173">
        <v>29.018999555631126</v>
      </c>
      <c r="O16" s="1173">
        <v>-47.5</v>
      </c>
      <c r="P16" s="1173">
        <v>-78.900000000000006</v>
      </c>
      <c r="Q16" s="1173">
        <v>-43.6</v>
      </c>
      <c r="R16" s="1173">
        <v>-66.7</v>
      </c>
      <c r="S16" s="1173">
        <v>-51.1</v>
      </c>
      <c r="T16" s="1173">
        <v>-14</v>
      </c>
      <c r="U16" s="537">
        <v>-25.3</v>
      </c>
      <c r="V16" s="537">
        <v>-43.6</v>
      </c>
      <c r="W16" s="537">
        <v>-22.1</v>
      </c>
      <c r="X16" s="537">
        <v>-19.7</v>
      </c>
      <c r="Y16" s="1173">
        <v>-74.2</v>
      </c>
      <c r="Z16" s="1173">
        <v>-89</v>
      </c>
      <c r="AA16" s="1173">
        <v>-47.3</v>
      </c>
      <c r="AB16" s="1173">
        <v>-64.3</v>
      </c>
      <c r="AC16" s="1173">
        <v>-102.3</v>
      </c>
      <c r="AD16" s="1173">
        <v>-43.3</v>
      </c>
      <c r="AE16" s="1173">
        <v>-48.5</v>
      </c>
      <c r="AF16" s="1173">
        <v>-89.3</v>
      </c>
      <c r="AG16" s="1173">
        <v>-58.6</v>
      </c>
      <c r="AH16" s="1173">
        <v>-74.5</v>
      </c>
      <c r="AI16" s="1173">
        <v>-76.5</v>
      </c>
      <c r="AJ16" s="1183">
        <v>-81.211402971467081</v>
      </c>
      <c r="AK16" s="1183">
        <v>-44</v>
      </c>
      <c r="AL16" s="1183">
        <v>-47.899436528027081</v>
      </c>
      <c r="AM16" s="1183">
        <v>-11.715405042424493</v>
      </c>
      <c r="AN16" s="1183">
        <v>-76.625459157526123</v>
      </c>
      <c r="AO16" s="1183">
        <v>-26.398206443562515</v>
      </c>
      <c r="AP16" s="1183">
        <v>17.626496402399212</v>
      </c>
      <c r="AQ16" s="1184">
        <v>-47</v>
      </c>
    </row>
    <row r="17" spans="1:84">
      <c r="A17" s="1144" t="s">
        <v>591</v>
      </c>
      <c r="B17" s="1145" t="s">
        <v>724</v>
      </c>
      <c r="C17" s="1145"/>
      <c r="D17" s="769"/>
      <c r="E17" s="769"/>
      <c r="F17" s="769"/>
      <c r="G17" s="769"/>
      <c r="H17" s="1173">
        <v>-95.5</v>
      </c>
      <c r="I17" s="1173">
        <f>-155.7+0.9</f>
        <v>-154.79999999999998</v>
      </c>
      <c r="J17" s="1173">
        <f>-221.6-0.2</f>
        <v>-221.79999999999998</v>
      </c>
      <c r="K17" s="1173">
        <f>-202.9</f>
        <v>-202.9</v>
      </c>
      <c r="L17" s="1173">
        <f>-81.2+0.1</f>
        <v>-81.100000000000009</v>
      </c>
      <c r="M17" s="1173">
        <f>-134.2+0.1</f>
        <v>-134.1</v>
      </c>
      <c r="N17" s="1173">
        <f>-320.3+0.2</f>
        <v>-320.10000000000002</v>
      </c>
      <c r="O17" s="1173">
        <f>-352.9-0.3</f>
        <v>-353.2</v>
      </c>
      <c r="P17" s="1173">
        <f>-274.5+0.1</f>
        <v>-274.39999999999998</v>
      </c>
      <c r="Q17" s="1173">
        <f>-307.8-0.4</f>
        <v>-308.2</v>
      </c>
      <c r="R17" s="1173">
        <f>-345.1+3.1</f>
        <v>-342</v>
      </c>
      <c r="S17" s="1173">
        <f>-401.8+1</f>
        <v>-400.8</v>
      </c>
      <c r="T17" s="1173">
        <v>-381.2</v>
      </c>
      <c r="U17" s="537">
        <f>-322.4+0.5+1.1</f>
        <v>-320.79999999999995</v>
      </c>
      <c r="V17" s="537">
        <f>-344.7-0.2+3.3</f>
        <v>-341.59999999999997</v>
      </c>
      <c r="W17" s="537">
        <f>-462.6-0.3+19.5</f>
        <v>-443.40000000000003</v>
      </c>
      <c r="X17" s="537">
        <f>-347.6+0.6-1</f>
        <v>-348</v>
      </c>
      <c r="Y17" s="1173">
        <f>-379.6-0.3+13.6</f>
        <v>-366.3</v>
      </c>
      <c r="Z17" s="1173">
        <f>-201.2-24.5+26.8</f>
        <v>-198.89999999999998</v>
      </c>
      <c r="AA17" s="1173">
        <f>-311.2-0.6+25</f>
        <v>-286.8</v>
      </c>
      <c r="AB17" s="1173">
        <f>-195.9+0.6+0.1</f>
        <v>-195.20000000000002</v>
      </c>
      <c r="AC17" s="1173">
        <f>-185.7-0.5+0.8</f>
        <v>-185.39999999999998</v>
      </c>
      <c r="AD17" s="1173">
        <f>-192.2-28.4</f>
        <v>-220.6</v>
      </c>
      <c r="AE17" s="1173">
        <f>-220.6</f>
        <v>-220.6</v>
      </c>
      <c r="AF17" s="1173">
        <v>-172.5</v>
      </c>
      <c r="AG17" s="1173">
        <v>-217.1</v>
      </c>
      <c r="AH17" s="1173">
        <v>-210</v>
      </c>
      <c r="AI17" s="1173">
        <v>-254.6</v>
      </c>
      <c r="AJ17" s="1183">
        <v>-176.27884476498991</v>
      </c>
      <c r="AK17" s="1183">
        <v>-200</v>
      </c>
      <c r="AL17" s="1183">
        <v>-205.0214266193077</v>
      </c>
      <c r="AM17" s="1183">
        <v>-245.20574351584185</v>
      </c>
      <c r="AN17" s="1183">
        <v>-123.49602497739357</v>
      </c>
      <c r="AO17" s="1183">
        <v>-217.76921362525951</v>
      </c>
      <c r="AP17" s="1183">
        <v>-188.33767504351601</v>
      </c>
      <c r="AQ17" s="1184">
        <v>-68</v>
      </c>
    </row>
    <row r="18" spans="1:84">
      <c r="A18" s="1144" t="s">
        <v>592</v>
      </c>
      <c r="B18" s="1145" t="s">
        <v>453</v>
      </c>
      <c r="C18" s="1145"/>
      <c r="D18" s="769"/>
      <c r="E18" s="769"/>
      <c r="F18" s="769"/>
      <c r="G18" s="769"/>
      <c r="H18" s="1173"/>
      <c r="I18" s="1173"/>
      <c r="J18" s="1173"/>
      <c r="K18" s="1173"/>
      <c r="L18" s="1173"/>
      <c r="M18" s="1173"/>
      <c r="N18" s="1173"/>
      <c r="O18" s="1173"/>
      <c r="P18" s="1173">
        <v>0</v>
      </c>
      <c r="Q18" s="1173">
        <v>0</v>
      </c>
      <c r="R18" s="1173">
        <v>-3.1</v>
      </c>
      <c r="S18" s="1173">
        <v>-1</v>
      </c>
      <c r="T18" s="1173">
        <v>0</v>
      </c>
      <c r="U18" s="537">
        <v>-1.1000000000000001</v>
      </c>
      <c r="V18" s="537">
        <v>-3.3</v>
      </c>
      <c r="W18" s="537">
        <v>-19.5</v>
      </c>
      <c r="X18" s="537">
        <v>1</v>
      </c>
      <c r="Y18" s="1173">
        <v>-13.6</v>
      </c>
      <c r="Z18" s="1173">
        <v>-26.8</v>
      </c>
      <c r="AA18" s="1173">
        <v>-25</v>
      </c>
      <c r="AB18" s="1173">
        <v>-0.1</v>
      </c>
      <c r="AC18" s="1173">
        <v>-0.8</v>
      </c>
      <c r="AD18" s="1173">
        <v>28.4</v>
      </c>
      <c r="AE18" s="1173">
        <v>-4.5</v>
      </c>
      <c r="AF18" s="1173">
        <v>-3.4</v>
      </c>
      <c r="AG18" s="1173">
        <v>-5.4</v>
      </c>
      <c r="AH18" s="1173">
        <v>4.0999999999999996</v>
      </c>
      <c r="AI18" s="1173">
        <v>-1</v>
      </c>
      <c r="AJ18" s="1183">
        <v>1.7407277911299932</v>
      </c>
      <c r="AK18" s="1183">
        <v>-0.32023508152445679</v>
      </c>
      <c r="AL18" s="1183">
        <v>-0.23208959687192277</v>
      </c>
      <c r="AM18" s="1183">
        <v>6.2495943033492516</v>
      </c>
      <c r="AN18" s="1183">
        <v>-0.49973876999999955</v>
      </c>
      <c r="AO18" s="1183">
        <v>2.4997387699999996</v>
      </c>
      <c r="AP18" s="1183">
        <v>-4</v>
      </c>
      <c r="AQ18" s="1184">
        <v>-8</v>
      </c>
    </row>
    <row r="19" spans="1:84">
      <c r="A19" s="1144" t="s">
        <v>595</v>
      </c>
      <c r="B19" s="1145" t="s">
        <v>725</v>
      </c>
      <c r="C19" s="1145"/>
      <c r="D19" s="769"/>
      <c r="E19" s="769"/>
      <c r="F19" s="769"/>
      <c r="G19" s="769"/>
      <c r="H19" s="1173"/>
      <c r="I19" s="1173">
        <v>-0.9</v>
      </c>
      <c r="J19" s="1173">
        <v>0.2</v>
      </c>
      <c r="K19" s="1173"/>
      <c r="L19" s="1173">
        <v>-0.1</v>
      </c>
      <c r="M19" s="1173">
        <v>0.1</v>
      </c>
      <c r="N19" s="1173">
        <v>-0.2</v>
      </c>
      <c r="O19" s="1173">
        <v>0.3</v>
      </c>
      <c r="P19" s="1173">
        <v>-0.1</v>
      </c>
      <c r="Q19" s="1173">
        <v>0.4</v>
      </c>
      <c r="R19" s="1173">
        <v>0</v>
      </c>
      <c r="S19" s="1173">
        <v>0</v>
      </c>
      <c r="T19" s="1173">
        <v>0</v>
      </c>
      <c r="U19" s="537">
        <v>-0.5</v>
      </c>
      <c r="V19" s="537">
        <v>0.2</v>
      </c>
      <c r="W19" s="537">
        <v>0.3</v>
      </c>
      <c r="X19" s="537">
        <v>-0.6</v>
      </c>
      <c r="Y19" s="1173">
        <v>0.3</v>
      </c>
      <c r="Z19" s="1173">
        <v>24.5</v>
      </c>
      <c r="AA19" s="1173">
        <v>0.6</v>
      </c>
      <c r="AB19" s="1173">
        <v>-0.6</v>
      </c>
      <c r="AC19" s="1173">
        <v>0.5</v>
      </c>
      <c r="AD19" s="1173">
        <v>0</v>
      </c>
      <c r="AE19" s="1173">
        <v>0.2</v>
      </c>
      <c r="AF19" s="1173">
        <v>-1.1000000000000001</v>
      </c>
      <c r="AG19" s="1173">
        <v>0.7</v>
      </c>
      <c r="AH19" s="1185"/>
      <c r="AI19" s="1185"/>
      <c r="AJ19" s="1186"/>
      <c r="AK19" s="1186"/>
      <c r="AL19" s="1186"/>
      <c r="AM19" s="1186"/>
      <c r="AN19" s="1186"/>
      <c r="AO19" s="1186"/>
      <c r="AP19" s="1186"/>
      <c r="AQ19" s="1187">
        <v>0</v>
      </c>
    </row>
    <row r="20" spans="1:84" s="55" customFormat="1">
      <c r="A20" s="415" t="s">
        <v>589</v>
      </c>
      <c r="B20" s="833" t="s">
        <v>413</v>
      </c>
      <c r="C20" s="833"/>
      <c r="D20" s="1188"/>
      <c r="E20" s="1188"/>
      <c r="F20" s="1188"/>
      <c r="G20" s="1188"/>
      <c r="H20" s="833">
        <v>16.2</v>
      </c>
      <c r="I20" s="833">
        <v>-20.8</v>
      </c>
      <c r="J20" s="833">
        <v>-55.6</v>
      </c>
      <c r="K20" s="833">
        <v>-61.2</v>
      </c>
      <c r="L20" s="833">
        <v>-16.2</v>
      </c>
      <c r="M20" s="833">
        <v>-21.5</v>
      </c>
      <c r="N20" s="833">
        <v>-12.6</v>
      </c>
      <c r="O20" s="1189">
        <v>-43.5</v>
      </c>
      <c r="P20" s="1189">
        <v>-8.9</v>
      </c>
      <c r="Q20" s="1189">
        <v>-62.2</v>
      </c>
      <c r="R20" s="1189">
        <v>-91.1</v>
      </c>
      <c r="S20" s="1189">
        <v>-24.8</v>
      </c>
      <c r="T20" s="1189">
        <v>29.2</v>
      </c>
      <c r="U20" s="833">
        <v>36.799999999999997</v>
      </c>
      <c r="V20" s="833">
        <v>13.7</v>
      </c>
      <c r="W20" s="833">
        <v>-89.2</v>
      </c>
      <c r="X20" s="833">
        <v>-3.8</v>
      </c>
      <c r="Y20" s="1189">
        <v>-39.1</v>
      </c>
      <c r="Z20" s="1189">
        <v>-132.30000000000001</v>
      </c>
      <c r="AA20" s="1189">
        <v>-14.6</v>
      </c>
      <c r="AB20" s="1189">
        <v>-23.6</v>
      </c>
      <c r="AC20" s="1189">
        <v>6.9</v>
      </c>
      <c r="AD20" s="1189">
        <v>-52.9</v>
      </c>
      <c r="AE20" s="1189">
        <v>-11.2</v>
      </c>
      <c r="AF20" s="1189">
        <v>-35.6</v>
      </c>
      <c r="AG20" s="1189">
        <v>-26.1</v>
      </c>
      <c r="AH20" s="1189">
        <v>-47.7</v>
      </c>
      <c r="AI20" s="1189">
        <v>-9.6999999999999993</v>
      </c>
      <c r="AJ20" s="1190">
        <v>-17</v>
      </c>
      <c r="AK20" s="1190">
        <v>-20</v>
      </c>
      <c r="AL20" s="1190">
        <v>3.1598674180444561</v>
      </c>
      <c r="AM20" s="1190">
        <v>-79</v>
      </c>
      <c r="AN20" s="1190">
        <v>2.0449197875476166</v>
      </c>
      <c r="AO20" s="1190">
        <v>-25.256068811046728</v>
      </c>
      <c r="AP20" s="1190">
        <v>-1.8160769753328765</v>
      </c>
      <c r="AQ20" s="1191">
        <v>-124.3</v>
      </c>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row>
    <row r="21" spans="1:84" s="65" customFormat="1" ht="15.75" customHeight="1">
      <c r="A21" s="653" t="s">
        <v>228</v>
      </c>
      <c r="B21" s="784" t="s">
        <v>353</v>
      </c>
      <c r="C21" s="784"/>
      <c r="D21" s="1181">
        <f>D10</f>
        <v>-373.62200000000001</v>
      </c>
      <c r="E21" s="1181">
        <f t="shared" ref="E21:G21" si="21">E10</f>
        <v>-390.459</v>
      </c>
      <c r="F21" s="1181">
        <f t="shared" si="21"/>
        <v>-364.18400000000003</v>
      </c>
      <c r="G21" s="1181">
        <f t="shared" si="21"/>
        <v>-552.80999999999995</v>
      </c>
      <c r="H21" s="1181">
        <v>-425.1</v>
      </c>
      <c r="I21" s="1181">
        <v>-458.2</v>
      </c>
      <c r="J21" s="1181">
        <v>-558.70000000000005</v>
      </c>
      <c r="K21" s="1181">
        <v>-426.4</v>
      </c>
      <c r="L21" s="1181">
        <v>-438.4</v>
      </c>
      <c r="M21" s="1181">
        <v>-443</v>
      </c>
      <c r="N21" s="1181">
        <v>-487.7</v>
      </c>
      <c r="O21" s="1181">
        <v>-561.29999999999995</v>
      </c>
      <c r="P21" s="1181">
        <v>-527.5</v>
      </c>
      <c r="Q21" s="1181">
        <v>-573.79999999999995</v>
      </c>
      <c r="R21" s="1181">
        <v>-657.6</v>
      </c>
      <c r="S21" s="1181">
        <v>-566.29999999999995</v>
      </c>
      <c r="T21" s="1181">
        <v>-448</v>
      </c>
      <c r="U21" s="1181">
        <v>-418.9</v>
      </c>
      <c r="V21" s="1181">
        <v>-487.8</v>
      </c>
      <c r="W21" s="1181">
        <v>-683.2</v>
      </c>
      <c r="X21" s="1181">
        <v>413.5</v>
      </c>
      <c r="Y21" s="1181">
        <v>-557.70000000000005</v>
      </c>
      <c r="Z21" s="1181">
        <v>-475.2</v>
      </c>
      <c r="AA21" s="1181">
        <v>-452.3</v>
      </c>
      <c r="AB21" s="1181">
        <v>-373.6</v>
      </c>
      <c r="AC21" s="1181">
        <v>-375.1</v>
      </c>
      <c r="AD21" s="1181">
        <v>-362.3</v>
      </c>
      <c r="AE21" s="1181">
        <v>-365</v>
      </c>
      <c r="AF21" s="1181">
        <v>-382.2</v>
      </c>
      <c r="AG21" s="1181">
        <v>-400.2</v>
      </c>
      <c r="AH21" s="1181">
        <v>-419.2</v>
      </c>
      <c r="AI21" s="1181">
        <v>-421.2</v>
      </c>
      <c r="AJ21" s="1308">
        <v>-394</v>
      </c>
      <c r="AK21" s="1308">
        <v>-393</v>
      </c>
      <c r="AL21" s="1181">
        <v>-391.99279212093529</v>
      </c>
      <c r="AM21" s="1181">
        <v>-438</v>
      </c>
      <c r="AN21" s="1181">
        <v>-333.45706827810574</v>
      </c>
      <c r="AO21" s="1181">
        <v>-376.71131792662533</v>
      </c>
      <c r="AP21" s="1181">
        <v>-327.85524327236698</v>
      </c>
      <c r="AQ21" s="1182">
        <v>-412.6</v>
      </c>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row>
    <row r="22" spans="1:84" s="132" customFormat="1">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row>
    <row r="23" spans="1:84">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row>
    <row r="24" spans="1:84">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row>
    <row r="25" spans="1:84">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row>
    <row r="26" spans="1:84">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row>
    <row r="27" spans="1:84">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row>
    <row r="28" spans="1:8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row>
    <row r="29" spans="1:84">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row>
    <row r="30" spans="1:8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row>
    <row r="31" spans="1:84">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row>
    <row r="32" spans="1:8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row>
    <row r="33" spans="1:43">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row>
    <row r="34" spans="1:43">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row>
    <row r="35" spans="1:43">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row>
    <row r="36" spans="1:43">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row>
    <row r="37" spans="1:43">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row>
    <row r="38" spans="1:43">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row>
    <row r="39" spans="1:43">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row>
    <row r="40" spans="1:43">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row>
    <row r="41" spans="1:43">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row>
    <row r="42" spans="1:43">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row>
    <row r="43" spans="1:43">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row>
    <row r="44" spans="1:43">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row>
    <row r="45" spans="1:43">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row>
    <row r="46" spans="1:43">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row>
    <row r="47" spans="1:43">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row>
    <row r="48" spans="1:43">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row>
    <row r="49" spans="1:43">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row>
    <row r="50" spans="1:43">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row>
    <row r="51" spans="1:43">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row>
    <row r="52" spans="1:43">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row>
    <row r="53" spans="1:43">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row>
    <row r="54" spans="1:43">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row>
    <row r="55" spans="1:43">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row>
    <row r="56" spans="1:43">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row>
    <row r="57" spans="1:43">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row>
    <row r="58" spans="1:43">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row>
    <row r="59" spans="1:43">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row>
    <row r="60" spans="1:43">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row>
    <row r="61" spans="1:43">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row>
    <row r="62" spans="1:43">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row>
    <row r="63" spans="1:43">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row>
    <row r="64" spans="1:43">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row>
    <row r="65" spans="1:43">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row>
    <row r="66" spans="1:43">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row>
    <row r="67" spans="1:43">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row>
    <row r="68" spans="1:43">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row>
    <row r="69" spans="1:43">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row>
    <row r="70" spans="1:43">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row>
    <row r="71" spans="1:43">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row>
    <row r="72" spans="1:43">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row>
    <row r="73" spans="1:43">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row>
    <row r="74" spans="1:43">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row>
    <row r="75" spans="1:43">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row>
    <row r="76" spans="1:43">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row>
    <row r="77" spans="1:43">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row>
    <row r="78" spans="1:43">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row>
    <row r="79" spans="1:43">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row>
    <row r="80" spans="1:43">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row>
    <row r="81" spans="1:43">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row>
    <row r="82" spans="1:43">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row>
    <row r="83" spans="1:43">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row>
    <row r="84" spans="1:43">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row>
    <row r="85" spans="1:43">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row>
    <row r="86" spans="1:43">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row>
    <row r="87" spans="1:43">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row>
    <row r="88" spans="1:43">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row>
    <row r="89" spans="1:43">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row>
    <row r="90" spans="1:43">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row>
    <row r="91" spans="1:43">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row>
    <row r="92" spans="1:43">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row>
    <row r="93" spans="1:43">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row>
    <row r="94" spans="1:43">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row>
    <row r="95" spans="1:43">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row>
    <row r="96" spans="1:43">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row>
    <row r="97" spans="1:43">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row>
    <row r="98" spans="1:43">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row>
    <row r="99" spans="1:43">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row>
    <row r="100" spans="1:43">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row>
    <row r="101" spans="1:43">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row>
    <row r="102" spans="1:43">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row>
    <row r="103" spans="1:43">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row>
    <row r="104" spans="1:43">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row>
    <row r="105" spans="1:43">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row>
    <row r="106" spans="1:43">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row>
    <row r="107" spans="1:43">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row>
    <row r="108" spans="1:43">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row>
    <row r="109" spans="1:43">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row>
    <row r="110" spans="1:43">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row>
    <row r="111" spans="1:43">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row>
    <row r="112" spans="1:43">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row>
    <row r="113" spans="1:43">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row>
    <row r="114" spans="1:43">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row>
    <row r="115" spans="1:43">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row>
    <row r="116" spans="1:43">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row>
    <row r="117" spans="1:43">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row>
    <row r="118" spans="1:43">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row>
    <row r="119" spans="1:43">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row>
    <row r="120" spans="1:43">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row>
    <row r="121" spans="1:43">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row>
    <row r="122" spans="1:43">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row>
    <row r="123" spans="1:43">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row>
    <row r="124" spans="1:43">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row>
    <row r="125" spans="1:43">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row>
    <row r="126" spans="1:43">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row>
    <row r="127" spans="1:43">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row>
    <row r="128" spans="1:43">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row>
    <row r="129" spans="1:43">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row>
    <row r="130" spans="1:43">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row>
    <row r="131" spans="1:43">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row>
    <row r="132" spans="1:43">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row>
    <row r="133" spans="1:43">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row>
    <row r="134" spans="1:43">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row>
    <row r="135" spans="1:43">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row>
    <row r="136" spans="1:43">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row>
    <row r="137" spans="1:43">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row>
    <row r="138" spans="1:43">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row>
    <row r="139" spans="1:43">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row>
    <row r="140" spans="1:43">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row>
    <row r="141" spans="1:43">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row>
    <row r="142" spans="1:43">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row>
    <row r="143" spans="1:43">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row>
    <row r="144" spans="1:43">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row>
    <row r="145" spans="1:43">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row>
    <row r="146" spans="1:43">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row>
    <row r="147" spans="1:43">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row>
    <row r="148" spans="1:43">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row>
    <row r="149" spans="1:43">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row>
    <row r="150" spans="1:43">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row>
    <row r="151" spans="1:43">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row>
    <row r="152" spans="1:43">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row>
    <row r="153" spans="1:43">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row>
    <row r="154" spans="1:43">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row>
    <row r="155" spans="1:43">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row>
    <row r="156" spans="1:43">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row>
    <row r="157" spans="1:43">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row>
    <row r="158" spans="1:43">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row>
    <row r="159" spans="1:43">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row>
    <row r="160" spans="1:43">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row>
    <row r="161" spans="1:43">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row>
    <row r="162" spans="1:43">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row>
    <row r="163" spans="1:43">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row>
    <row r="164" spans="1:43">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row>
    <row r="165" spans="1:43">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row>
    <row r="166" spans="1:43">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row>
    <row r="167" spans="1:43">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row>
    <row r="168" spans="1:43">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row>
    <row r="169" spans="1:43">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row>
    <row r="170" spans="1:43">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row>
    <row r="171" spans="1:43">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row>
    <row r="172" spans="1:43">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row>
    <row r="173" spans="1:43">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row>
    <row r="174" spans="1:43">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row>
    <row r="175" spans="1:43">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row>
    <row r="176" spans="1:43">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row>
    <row r="177" spans="1:43">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row>
    <row r="178" spans="1:43">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row>
    <row r="179" spans="1:43">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row>
    <row r="180" spans="1:43">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row>
    <row r="181" spans="1:43">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row>
    <row r="182" spans="1:43">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row>
    <row r="183" spans="1:43">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row>
    <row r="184" spans="1:43">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row>
    <row r="185" spans="1:43">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row>
    <row r="186" spans="1:43">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row>
    <row r="187" spans="1:43">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row>
    <row r="188" spans="1:43">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row>
    <row r="189" spans="1:43">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row>
    <row r="190" spans="1:43">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row>
    <row r="191" spans="1:43">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row>
    <row r="192" spans="1:43">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row>
    <row r="193" spans="1:43">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row>
    <row r="194" spans="1:43">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row>
    <row r="195" spans="1:43">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row>
    <row r="196" spans="1:43">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row>
    <row r="197" spans="1:43">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row>
    <row r="198" spans="1:43">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row>
    <row r="199" spans="1:43">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row>
    <row r="200" spans="1:43">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row>
    <row r="201" spans="1:43">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row>
    <row r="202" spans="1:43">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row>
    <row r="203" spans="1:43">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row>
    <row r="204" spans="1:43">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row>
    <row r="205" spans="1:43">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row>
    <row r="206" spans="1:43">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row>
    <row r="207" spans="1:43">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row>
    <row r="208" spans="1:43">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row>
    <row r="209" spans="1:43">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row>
    <row r="210" spans="1:43">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row>
    <row r="211" spans="1:43">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row>
    <row r="212" spans="1:43">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row>
    <row r="213" spans="1:43">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row>
    <row r="214" spans="1:43">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row>
    <row r="215" spans="1:43">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row>
    <row r="216" spans="1:43">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row>
    <row r="217" spans="1:43">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row>
    <row r="218" spans="1:43">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row>
    <row r="219" spans="1:43">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row>
    <row r="220" spans="1:43">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row>
    <row r="221" spans="1:43">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row>
    <row r="222" spans="1:43">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row>
    <row r="223" spans="1:43">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row>
    <row r="224" spans="1:43">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row>
    <row r="225" spans="1:43">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row>
    <row r="226" spans="1:43">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row>
    <row r="227" spans="1:43">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row>
    <row r="228" spans="1:43">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row>
    <row r="229" spans="1:43">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row>
    <row r="230" spans="1:43">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row>
    <row r="231" spans="1:43">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row>
    <row r="232" spans="1:43">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row>
    <row r="233" spans="1:43">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row>
    <row r="234" spans="1:43">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row>
    <row r="235" spans="1:43">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row>
    <row r="236" spans="1:43">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row>
    <row r="237" spans="1:43">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row>
    <row r="238" spans="1:43">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row>
    <row r="239" spans="1:43">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row>
    <row r="240" spans="1:43">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row>
    <row r="241" spans="1:43">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row>
    <row r="242" spans="1:43">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row>
    <row r="243" spans="1:43">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row>
    <row r="244" spans="1:43">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row>
    <row r="245" spans="1:43">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row>
    <row r="246" spans="1:43">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row>
    <row r="247" spans="1:43">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row>
    <row r="248" spans="1:43">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row>
    <row r="249" spans="1:43">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row>
    <row r="250" spans="1:43">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row>
    <row r="251" spans="1:43">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row>
    <row r="252" spans="1:43">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row>
    <row r="253" spans="1:43">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row>
    <row r="254" spans="1:43">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row>
    <row r="255" spans="1:43">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row>
    <row r="256" spans="1:43">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row>
    <row r="257" spans="1:43">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row>
    <row r="258" spans="1:43">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row>
    <row r="259" spans="1:43">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row>
    <row r="260" spans="1:43">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row>
    <row r="261" spans="1:43">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row>
    <row r="262" spans="1:43">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row>
    <row r="263" spans="1:43">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5"/>
      <c r="AQ263" s="145"/>
    </row>
    <row r="264" spans="1:43">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5"/>
      <c r="AQ264" s="145"/>
    </row>
    <row r="265" spans="1:43">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row>
    <row r="266" spans="1:43">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row>
    <row r="267" spans="1:43">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row>
    <row r="268" spans="1:43">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row>
    <row r="269" spans="1:43">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5"/>
      <c r="AQ269" s="145"/>
    </row>
    <row r="270" spans="1:43">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45"/>
      <c r="AP270" s="145"/>
      <c r="AQ270" s="145"/>
    </row>
    <row r="271" spans="1:43">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5"/>
      <c r="AQ271" s="145"/>
    </row>
    <row r="272" spans="1:43">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row>
    <row r="273" spans="1:43">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45"/>
      <c r="AP273" s="145"/>
      <c r="AQ273" s="145"/>
    </row>
    <row r="274" spans="1:43">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row>
    <row r="275" spans="1:43">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row>
    <row r="276" spans="1:43">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row>
    <row r="277" spans="1:43">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row>
    <row r="278" spans="1:43">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row>
    <row r="279" spans="1:43">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c r="AP279" s="145"/>
      <c r="AQ279" s="145"/>
    </row>
    <row r="280" spans="1:43">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45"/>
      <c r="AP280" s="145"/>
      <c r="AQ280" s="145"/>
    </row>
    <row r="281" spans="1:43">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45"/>
      <c r="AP281" s="145"/>
      <c r="AQ281" s="145"/>
    </row>
    <row r="282" spans="1:43">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row>
    <row r="283" spans="1:43">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row>
    <row r="284" spans="1:43">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row>
    <row r="285" spans="1:43">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row>
    <row r="286" spans="1:43">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row>
    <row r="287" spans="1:43">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row>
    <row r="288" spans="1:43">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row>
    <row r="289" spans="1:43">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row>
    <row r="290" spans="1:43">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row>
    <row r="291" spans="1:43">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row>
    <row r="292" spans="1:43">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45"/>
      <c r="AP292" s="145"/>
      <c r="AQ292" s="145"/>
    </row>
    <row r="293" spans="1:43">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45"/>
      <c r="AP293" s="145"/>
      <c r="AQ293" s="145"/>
    </row>
    <row r="294" spans="1:43">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row>
    <row r="295" spans="1:43">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row>
    <row r="296" spans="1:43">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row>
    <row r="297" spans="1:43">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5"/>
      <c r="AL297" s="145"/>
      <c r="AM297" s="145"/>
      <c r="AN297" s="145"/>
      <c r="AO297" s="145"/>
      <c r="AP297" s="145"/>
      <c r="AQ297" s="145"/>
    </row>
    <row r="298" spans="1:43">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5"/>
      <c r="AL298" s="145"/>
      <c r="AM298" s="145"/>
      <c r="AN298" s="145"/>
      <c r="AO298" s="145"/>
      <c r="AP298" s="145"/>
      <c r="AQ298" s="145"/>
    </row>
    <row r="299" spans="1:43">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5"/>
      <c r="AE299" s="145"/>
      <c r="AF299" s="145"/>
      <c r="AG299" s="145"/>
      <c r="AH299" s="145"/>
      <c r="AI299" s="145"/>
      <c r="AJ299" s="145"/>
      <c r="AK299" s="145"/>
      <c r="AL299" s="145"/>
      <c r="AM299" s="145"/>
      <c r="AN299" s="145"/>
      <c r="AO299" s="145"/>
      <c r="AP299" s="145"/>
      <c r="AQ299" s="145"/>
    </row>
    <row r="300" spans="1:43">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row>
    <row r="301" spans="1:43">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row>
    <row r="302" spans="1:43">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5"/>
      <c r="AL302" s="145"/>
      <c r="AM302" s="145"/>
      <c r="AN302" s="145"/>
      <c r="AO302" s="145"/>
      <c r="AP302" s="145"/>
      <c r="AQ302" s="145"/>
    </row>
    <row r="303" spans="1:43">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5"/>
      <c r="AL303" s="145"/>
      <c r="AM303" s="145"/>
      <c r="AN303" s="145"/>
      <c r="AO303" s="145"/>
      <c r="AP303" s="145"/>
      <c r="AQ303" s="145"/>
    </row>
    <row r="304" spans="1:43">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c r="AQ304" s="145"/>
    </row>
    <row r="305" spans="1:43">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c r="AQ305" s="145"/>
    </row>
    <row r="306" spans="1:43">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row>
    <row r="307" spans="1:43">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row>
    <row r="308" spans="1:43">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row>
    <row r="309" spans="1:43">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c r="AQ309" s="145"/>
    </row>
    <row r="310" spans="1:43">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c r="AQ310" s="145"/>
    </row>
    <row r="311" spans="1:43">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row>
    <row r="312" spans="1:43">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c r="AQ312" s="145"/>
    </row>
    <row r="313" spans="1:43">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c r="AQ313" s="145"/>
    </row>
    <row r="314" spans="1:43">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c r="AQ314" s="145"/>
    </row>
    <row r="315" spans="1:43">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c r="AQ315" s="145"/>
    </row>
    <row r="316" spans="1:43">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row>
    <row r="317" spans="1:43">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c r="AQ317" s="145"/>
    </row>
    <row r="318" spans="1:43">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c r="AQ318" s="145"/>
    </row>
    <row r="319" spans="1:43">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c r="AQ319" s="145"/>
    </row>
    <row r="320" spans="1:43">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c r="AQ320" s="145"/>
    </row>
    <row r="321" spans="1:43">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c r="AQ321" s="145"/>
    </row>
    <row r="322" spans="1:43">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c r="AQ322" s="145"/>
    </row>
    <row r="323" spans="1:43">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c r="AQ323" s="145"/>
    </row>
    <row r="324" spans="1:43">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c r="AQ324" s="145"/>
    </row>
    <row r="325" spans="1:43">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c r="AQ325" s="145"/>
    </row>
    <row r="326" spans="1:43">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c r="AQ326" s="145"/>
    </row>
    <row r="327" spans="1:43">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row>
    <row r="328" spans="1:43">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5"/>
      <c r="AL328" s="145"/>
      <c r="AM328" s="145"/>
      <c r="AN328" s="145"/>
      <c r="AO328" s="145"/>
      <c r="AP328" s="145"/>
      <c r="AQ328" s="145"/>
    </row>
    <row r="329" spans="1:43">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5"/>
      <c r="AL329" s="145"/>
      <c r="AM329" s="145"/>
      <c r="AN329" s="145"/>
      <c r="AO329" s="145"/>
      <c r="AP329" s="145"/>
      <c r="AQ329" s="145"/>
    </row>
    <row r="330" spans="1:43">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45"/>
      <c r="AP330" s="145"/>
      <c r="AQ330" s="145"/>
    </row>
    <row r="331" spans="1:43">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c r="AQ331" s="145"/>
    </row>
    <row r="332" spans="1:43">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c r="AH332" s="145"/>
      <c r="AI332" s="145"/>
      <c r="AJ332" s="145"/>
      <c r="AK332" s="145"/>
      <c r="AL332" s="145"/>
      <c r="AM332" s="145"/>
      <c r="AN332" s="145"/>
      <c r="AO332" s="145"/>
      <c r="AP332" s="145"/>
      <c r="AQ332" s="145"/>
    </row>
    <row r="333" spans="1:43">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c r="AJ333" s="145"/>
      <c r="AK333" s="145"/>
      <c r="AL333" s="145"/>
      <c r="AM333" s="145"/>
      <c r="AN333" s="145"/>
      <c r="AO333" s="145"/>
      <c r="AP333" s="145"/>
      <c r="AQ333" s="145"/>
    </row>
    <row r="334" spans="1:43">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5"/>
      <c r="AL334" s="145"/>
      <c r="AM334" s="145"/>
      <c r="AN334" s="145"/>
      <c r="AO334" s="145"/>
      <c r="AP334" s="145"/>
      <c r="AQ334" s="145"/>
    </row>
    <row r="335" spans="1:43">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45"/>
      <c r="AP335" s="145"/>
      <c r="AQ335" s="145"/>
    </row>
    <row r="336" spans="1:43">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5"/>
      <c r="AL336" s="145"/>
      <c r="AM336" s="145"/>
      <c r="AN336" s="145"/>
      <c r="AO336" s="145"/>
      <c r="AP336" s="145"/>
      <c r="AQ336" s="145"/>
    </row>
    <row r="337" spans="1:43">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45"/>
      <c r="AP337" s="145"/>
      <c r="AQ337" s="145"/>
    </row>
    <row r="338" spans="1:43">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5"/>
      <c r="AL338" s="145"/>
      <c r="AM338" s="145"/>
      <c r="AN338" s="145"/>
      <c r="AO338" s="145"/>
      <c r="AP338" s="145"/>
      <c r="AQ338" s="145"/>
    </row>
    <row r="339" spans="1:43">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5"/>
      <c r="AL339" s="145"/>
      <c r="AM339" s="145"/>
      <c r="AN339" s="145"/>
      <c r="AO339" s="145"/>
      <c r="AP339" s="145"/>
      <c r="AQ339" s="145"/>
    </row>
    <row r="340" spans="1:43">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c r="AQ340" s="145"/>
    </row>
    <row r="341" spans="1:43">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5"/>
      <c r="AL341" s="145"/>
      <c r="AM341" s="145"/>
      <c r="AN341" s="145"/>
      <c r="AO341" s="145"/>
      <c r="AP341" s="145"/>
      <c r="AQ341" s="145"/>
    </row>
    <row r="342" spans="1:43">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c r="AN342" s="145"/>
      <c r="AO342" s="145"/>
      <c r="AP342" s="145"/>
      <c r="AQ342" s="145"/>
    </row>
    <row r="343" spans="1:43">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5"/>
      <c r="AK343" s="145"/>
      <c r="AL343" s="145"/>
      <c r="AM343" s="145"/>
      <c r="AN343" s="145"/>
      <c r="AO343" s="145"/>
      <c r="AP343" s="145"/>
      <c r="AQ343" s="145"/>
    </row>
    <row r="344" spans="1:43">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5"/>
      <c r="AK344" s="145"/>
      <c r="AL344" s="145"/>
      <c r="AM344" s="145"/>
      <c r="AN344" s="145"/>
      <c r="AO344" s="145"/>
      <c r="AP344" s="145"/>
      <c r="AQ344" s="145"/>
    </row>
    <row r="345" spans="1:43">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row>
    <row r="346" spans="1:43">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row>
    <row r="347" spans="1:43">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row>
    <row r="348" spans="1:43">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row>
    <row r="349" spans="1:43">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row>
    <row r="350" spans="1:43">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5"/>
      <c r="AL350" s="145"/>
      <c r="AM350" s="145"/>
      <c r="AN350" s="145"/>
      <c r="AO350" s="145"/>
      <c r="AP350" s="145"/>
      <c r="AQ350" s="145"/>
    </row>
    <row r="351" spans="1:43">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row>
    <row r="352" spans="1:43">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row>
    <row r="353" spans="1:43">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5"/>
      <c r="AL353" s="145"/>
      <c r="AM353" s="145"/>
      <c r="AN353" s="145"/>
      <c r="AO353" s="145"/>
      <c r="AP353" s="145"/>
      <c r="AQ353" s="145"/>
    </row>
    <row r="354" spans="1:43">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row>
    <row r="355" spans="1:43">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row>
    <row r="356" spans="1:43">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45"/>
      <c r="AP356" s="145"/>
      <c r="AQ356" s="145"/>
    </row>
    <row r="357" spans="1:43">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row>
    <row r="358" spans="1:43">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5"/>
      <c r="AL358" s="145"/>
      <c r="AM358" s="145"/>
      <c r="AN358" s="145"/>
      <c r="AO358" s="145"/>
      <c r="AP358" s="145"/>
      <c r="AQ358" s="145"/>
    </row>
    <row r="359" spans="1:43">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5"/>
      <c r="AL359" s="145"/>
      <c r="AM359" s="145"/>
      <c r="AN359" s="145"/>
      <c r="AO359" s="145"/>
      <c r="AP359" s="145"/>
      <c r="AQ359" s="145"/>
    </row>
    <row r="360" spans="1:43">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5"/>
      <c r="AI360" s="145"/>
      <c r="AJ360" s="145"/>
      <c r="AK360" s="145"/>
      <c r="AL360" s="145"/>
      <c r="AM360" s="145"/>
      <c r="AN360" s="145"/>
      <c r="AO360" s="145"/>
      <c r="AP360" s="145"/>
      <c r="AQ360" s="145"/>
    </row>
    <row r="361" spans="1:43">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5"/>
      <c r="AL361" s="145"/>
      <c r="AM361" s="145"/>
      <c r="AN361" s="145"/>
      <c r="AO361" s="145"/>
      <c r="AP361" s="145"/>
      <c r="AQ361" s="145"/>
    </row>
    <row r="362" spans="1:43">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5"/>
      <c r="AL362" s="145"/>
      <c r="AM362" s="145"/>
      <c r="AN362" s="145"/>
      <c r="AO362" s="145"/>
      <c r="AP362" s="145"/>
      <c r="AQ362" s="145"/>
    </row>
    <row r="363" spans="1:43">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5"/>
      <c r="AL363" s="145"/>
      <c r="AM363" s="145"/>
      <c r="AN363" s="145"/>
      <c r="AO363" s="145"/>
      <c r="AP363" s="145"/>
      <c r="AQ363" s="145"/>
    </row>
    <row r="364" spans="1:43">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5"/>
      <c r="AI364" s="145"/>
      <c r="AJ364" s="145"/>
      <c r="AK364" s="145"/>
      <c r="AL364" s="145"/>
      <c r="AM364" s="145"/>
      <c r="AN364" s="145"/>
      <c r="AO364" s="145"/>
      <c r="AP364" s="145"/>
      <c r="AQ364" s="145"/>
    </row>
    <row r="365" spans="1:43">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row>
    <row r="366" spans="1:43">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c r="AD366" s="145"/>
      <c r="AE366" s="145"/>
      <c r="AF366" s="145"/>
      <c r="AG366" s="145"/>
      <c r="AH366" s="145"/>
      <c r="AI366" s="145"/>
      <c r="AJ366" s="145"/>
      <c r="AK366" s="145"/>
      <c r="AL366" s="145"/>
      <c r="AM366" s="145"/>
      <c r="AN366" s="145"/>
      <c r="AO366" s="145"/>
      <c r="AP366" s="145"/>
      <c r="AQ366" s="145"/>
    </row>
    <row r="367" spans="1:43">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row>
    <row r="368" spans="1:43">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row>
    <row r="369" spans="1:43">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5"/>
      <c r="AL369" s="145"/>
      <c r="AM369" s="145"/>
      <c r="AN369" s="145"/>
      <c r="AO369" s="145"/>
      <c r="AP369" s="145"/>
      <c r="AQ369" s="145"/>
    </row>
    <row r="370" spans="1:43">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c r="AH370" s="145"/>
      <c r="AI370" s="145"/>
      <c r="AJ370" s="145"/>
      <c r="AK370" s="145"/>
      <c r="AL370" s="145"/>
      <c r="AM370" s="145"/>
      <c r="AN370" s="145"/>
      <c r="AO370" s="145"/>
      <c r="AP370" s="145"/>
      <c r="AQ370" s="145"/>
    </row>
    <row r="371" spans="1:43">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row>
    <row r="372" spans="1:43">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5"/>
      <c r="AL372" s="145"/>
      <c r="AM372" s="145"/>
      <c r="AN372" s="145"/>
      <c r="AO372" s="145"/>
      <c r="AP372" s="145"/>
      <c r="AQ372" s="145"/>
    </row>
    <row r="373" spans="1:43">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5"/>
      <c r="AL373" s="145"/>
      <c r="AM373" s="145"/>
      <c r="AN373" s="145"/>
      <c r="AO373" s="145"/>
      <c r="AP373" s="145"/>
      <c r="AQ373" s="145"/>
    </row>
    <row r="374" spans="1:43">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5"/>
      <c r="AL374" s="145"/>
      <c r="AM374" s="145"/>
      <c r="AN374" s="145"/>
      <c r="AO374" s="145"/>
      <c r="AP374" s="145"/>
      <c r="AQ374" s="145"/>
    </row>
    <row r="375" spans="1:43">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5"/>
      <c r="AL375" s="145"/>
      <c r="AM375" s="145"/>
      <c r="AN375" s="145"/>
      <c r="AO375" s="145"/>
      <c r="AP375" s="145"/>
      <c r="AQ375" s="145"/>
    </row>
    <row r="376" spans="1:43">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5"/>
      <c r="AQ376" s="145"/>
    </row>
    <row r="377" spans="1:43">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45"/>
      <c r="AP377" s="145"/>
      <c r="AQ377" s="145"/>
    </row>
    <row r="378" spans="1:43">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5"/>
      <c r="AL378" s="145"/>
      <c r="AM378" s="145"/>
      <c r="AN378" s="145"/>
      <c r="AO378" s="145"/>
      <c r="AP378" s="145"/>
      <c r="AQ378" s="145"/>
    </row>
    <row r="379" spans="1:43">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5"/>
      <c r="AL379" s="145"/>
      <c r="AM379" s="145"/>
      <c r="AN379" s="145"/>
      <c r="AO379" s="145"/>
      <c r="AP379" s="145"/>
      <c r="AQ379" s="145"/>
    </row>
    <row r="380" spans="1:43">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5"/>
      <c r="AL380" s="145"/>
      <c r="AM380" s="145"/>
      <c r="AN380" s="145"/>
      <c r="AO380" s="145"/>
      <c r="AP380" s="145"/>
      <c r="AQ380" s="145"/>
    </row>
    <row r="381" spans="1:43">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45"/>
      <c r="AP381" s="145"/>
      <c r="AQ381" s="145"/>
    </row>
    <row r="382" spans="1:43">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45"/>
      <c r="AP382" s="145"/>
      <c r="AQ382" s="145"/>
    </row>
    <row r="383" spans="1:43">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45"/>
      <c r="AP383" s="145"/>
      <c r="AQ383" s="145"/>
    </row>
    <row r="384" spans="1:43">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row>
    <row r="385" spans="1:43">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row>
    <row r="386" spans="1:43">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5"/>
      <c r="AL386" s="145"/>
      <c r="AM386" s="145"/>
      <c r="AN386" s="145"/>
      <c r="AO386" s="145"/>
      <c r="AP386" s="145"/>
      <c r="AQ386" s="145"/>
    </row>
    <row r="387" spans="1:43">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5"/>
      <c r="AL387" s="145"/>
      <c r="AM387" s="145"/>
      <c r="AN387" s="145"/>
      <c r="AO387" s="145"/>
      <c r="AP387" s="145"/>
      <c r="AQ387" s="145"/>
    </row>
    <row r="388" spans="1:43">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5"/>
      <c r="AL388" s="145"/>
      <c r="AM388" s="145"/>
      <c r="AN388" s="145"/>
      <c r="AO388" s="145"/>
      <c r="AP388" s="145"/>
      <c r="AQ388" s="145"/>
    </row>
    <row r="389" spans="1:43">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row>
    <row r="390" spans="1:43">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5"/>
      <c r="AI390" s="145"/>
      <c r="AJ390" s="145"/>
      <c r="AK390" s="145"/>
      <c r="AL390" s="145"/>
      <c r="AM390" s="145"/>
      <c r="AN390" s="145"/>
      <c r="AO390" s="145"/>
      <c r="AP390" s="145"/>
      <c r="AQ390" s="145"/>
    </row>
    <row r="391" spans="1:43">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5"/>
      <c r="AI391" s="145"/>
      <c r="AJ391" s="145"/>
      <c r="AK391" s="145"/>
      <c r="AL391" s="145"/>
      <c r="AM391" s="145"/>
      <c r="AN391" s="145"/>
      <c r="AO391" s="145"/>
      <c r="AP391" s="145"/>
      <c r="AQ391" s="145"/>
    </row>
    <row r="392" spans="1:43">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c r="AH392" s="145"/>
      <c r="AI392" s="145"/>
      <c r="AJ392" s="145"/>
      <c r="AK392" s="145"/>
      <c r="AL392" s="145"/>
      <c r="AM392" s="145"/>
      <c r="AN392" s="145"/>
      <c r="AO392" s="145"/>
      <c r="AP392" s="145"/>
      <c r="AQ392" s="145"/>
    </row>
    <row r="393" spans="1:43">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row>
    <row r="394" spans="1:43">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5"/>
      <c r="AL394" s="145"/>
      <c r="AM394" s="145"/>
      <c r="AN394" s="145"/>
      <c r="AO394" s="145"/>
      <c r="AP394" s="145"/>
      <c r="AQ394" s="145"/>
    </row>
    <row r="395" spans="1:43">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5"/>
      <c r="AL395" s="145"/>
      <c r="AM395" s="145"/>
      <c r="AN395" s="145"/>
      <c r="AO395" s="145"/>
      <c r="AP395" s="145"/>
      <c r="AQ395" s="145"/>
    </row>
    <row r="396" spans="1:43">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5"/>
      <c r="AL396" s="145"/>
      <c r="AM396" s="145"/>
      <c r="AN396" s="145"/>
      <c r="AO396" s="145"/>
      <c r="AP396" s="145"/>
      <c r="AQ396" s="145"/>
    </row>
    <row r="397" spans="1:43">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row>
    <row r="398" spans="1:43">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c r="AA398" s="145"/>
      <c r="AB398" s="145"/>
      <c r="AC398" s="145"/>
      <c r="AD398" s="145"/>
      <c r="AE398" s="145"/>
      <c r="AF398" s="145"/>
      <c r="AG398" s="145"/>
      <c r="AH398" s="145"/>
      <c r="AI398" s="145"/>
      <c r="AJ398" s="145"/>
      <c r="AK398" s="145"/>
      <c r="AL398" s="145"/>
      <c r="AM398" s="145"/>
      <c r="AN398" s="145"/>
      <c r="AO398" s="145"/>
      <c r="AP398" s="145"/>
      <c r="AQ398" s="145"/>
    </row>
    <row r="399" spans="1:43">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45"/>
      <c r="AP399" s="145"/>
      <c r="AQ399" s="145"/>
    </row>
    <row r="400" spans="1:43">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5"/>
      <c r="AL400" s="145"/>
      <c r="AM400" s="145"/>
      <c r="AN400" s="145"/>
      <c r="AO400" s="145"/>
      <c r="AP400" s="145"/>
      <c r="AQ400" s="145"/>
    </row>
    <row r="401" spans="1:43">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row>
    <row r="402" spans="1:43">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45"/>
      <c r="AL402" s="145"/>
      <c r="AM402" s="145"/>
      <c r="AN402" s="145"/>
      <c r="AO402" s="145"/>
      <c r="AP402" s="145"/>
      <c r="AQ402" s="145"/>
    </row>
    <row r="403" spans="1:43">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5"/>
      <c r="AL403" s="145"/>
      <c r="AM403" s="145"/>
      <c r="AN403" s="145"/>
      <c r="AO403" s="145"/>
      <c r="AP403" s="145"/>
      <c r="AQ403" s="145"/>
    </row>
    <row r="404" spans="1:43">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5"/>
      <c r="AL404" s="145"/>
      <c r="AM404" s="145"/>
      <c r="AN404" s="145"/>
      <c r="AO404" s="145"/>
      <c r="AP404" s="145"/>
      <c r="AQ404" s="145"/>
    </row>
    <row r="405" spans="1:43">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row>
    <row r="406" spans="1:43">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5"/>
      <c r="AL406" s="145"/>
      <c r="AM406" s="145"/>
      <c r="AN406" s="145"/>
      <c r="AO406" s="145"/>
      <c r="AP406" s="145"/>
      <c r="AQ406" s="145"/>
    </row>
    <row r="407" spans="1:43">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5"/>
      <c r="AL407" s="145"/>
      <c r="AM407" s="145"/>
      <c r="AN407" s="145"/>
      <c r="AO407" s="145"/>
      <c r="AP407" s="145"/>
      <c r="AQ407" s="145"/>
    </row>
    <row r="408" spans="1:43">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5"/>
      <c r="AL408" s="145"/>
      <c r="AM408" s="145"/>
      <c r="AN408" s="145"/>
      <c r="AO408" s="145"/>
      <c r="AP408" s="145"/>
      <c r="AQ408" s="145"/>
    </row>
    <row r="409" spans="1:43">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45"/>
      <c r="AP409" s="145"/>
      <c r="AQ409" s="145"/>
    </row>
    <row r="410" spans="1:43">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5"/>
      <c r="AL410" s="145"/>
      <c r="AM410" s="145"/>
      <c r="AN410" s="145"/>
      <c r="AO410" s="145"/>
      <c r="AP410" s="145"/>
      <c r="AQ410" s="145"/>
    </row>
    <row r="411" spans="1:43">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5"/>
      <c r="AL411" s="145"/>
      <c r="AM411" s="145"/>
      <c r="AN411" s="145"/>
      <c r="AO411" s="145"/>
      <c r="AP411" s="145"/>
      <c r="AQ411" s="145"/>
    </row>
    <row r="412" spans="1:43">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5"/>
      <c r="AL412" s="145"/>
      <c r="AM412" s="145"/>
      <c r="AN412" s="145"/>
      <c r="AO412" s="145"/>
      <c r="AP412" s="145"/>
      <c r="AQ412" s="145"/>
    </row>
    <row r="413" spans="1:43">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5"/>
      <c r="AL413" s="145"/>
      <c r="AM413" s="145"/>
      <c r="AN413" s="145"/>
      <c r="AO413" s="145"/>
      <c r="AP413" s="145"/>
      <c r="AQ413" s="145"/>
    </row>
    <row r="414" spans="1:43">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5"/>
      <c r="AL414" s="145"/>
      <c r="AM414" s="145"/>
      <c r="AN414" s="145"/>
      <c r="AO414" s="145"/>
      <c r="AP414" s="145"/>
      <c r="AQ414" s="145"/>
    </row>
    <row r="415" spans="1:43">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5"/>
      <c r="AL415" s="145"/>
      <c r="AM415" s="145"/>
      <c r="AN415" s="145"/>
      <c r="AO415" s="145"/>
      <c r="AP415" s="145"/>
      <c r="AQ415" s="145"/>
    </row>
    <row r="416" spans="1:43">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5"/>
      <c r="AL416" s="145"/>
      <c r="AM416" s="145"/>
      <c r="AN416" s="145"/>
      <c r="AO416" s="145"/>
      <c r="AP416" s="145"/>
      <c r="AQ416" s="145"/>
    </row>
    <row r="417" spans="1:43">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5"/>
      <c r="AL417" s="145"/>
      <c r="AM417" s="145"/>
      <c r="AN417" s="145"/>
      <c r="AO417" s="145"/>
      <c r="AP417" s="145"/>
      <c r="AQ417" s="145"/>
    </row>
    <row r="418" spans="1:43">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5"/>
      <c r="AL418" s="145"/>
      <c r="AM418" s="145"/>
      <c r="AN418" s="145"/>
      <c r="AO418" s="145"/>
      <c r="AP418" s="145"/>
      <c r="AQ418" s="145"/>
    </row>
    <row r="419" spans="1:43">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5"/>
      <c r="AL419" s="145"/>
      <c r="AM419" s="145"/>
      <c r="AN419" s="145"/>
      <c r="AO419" s="145"/>
      <c r="AP419" s="145"/>
      <c r="AQ419" s="145"/>
    </row>
    <row r="420" spans="1:43">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5"/>
      <c r="AL420" s="145"/>
      <c r="AM420" s="145"/>
      <c r="AN420" s="145"/>
      <c r="AO420" s="145"/>
      <c r="AP420" s="145"/>
      <c r="AQ420" s="145"/>
    </row>
    <row r="421" spans="1:43">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5"/>
      <c r="AL421" s="145"/>
      <c r="AM421" s="145"/>
      <c r="AN421" s="145"/>
      <c r="AO421" s="145"/>
      <c r="AP421" s="145"/>
      <c r="AQ421" s="145"/>
    </row>
    <row r="422" spans="1:43">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5"/>
      <c r="AL422" s="145"/>
      <c r="AM422" s="145"/>
      <c r="AN422" s="145"/>
      <c r="AO422" s="145"/>
      <c r="AP422" s="145"/>
      <c r="AQ422" s="145"/>
    </row>
    <row r="423" spans="1:43">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5"/>
      <c r="AL423" s="145"/>
      <c r="AM423" s="145"/>
      <c r="AN423" s="145"/>
      <c r="AO423" s="145"/>
      <c r="AP423" s="145"/>
      <c r="AQ423" s="145"/>
    </row>
    <row r="424" spans="1:43">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5"/>
      <c r="AL424" s="145"/>
      <c r="AM424" s="145"/>
      <c r="AN424" s="145"/>
      <c r="AO424" s="145"/>
      <c r="AP424" s="145"/>
      <c r="AQ424" s="145"/>
    </row>
    <row r="425" spans="1:43">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5"/>
      <c r="AL425" s="145"/>
      <c r="AM425" s="145"/>
      <c r="AN425" s="145"/>
      <c r="AO425" s="145"/>
      <c r="AP425" s="145"/>
      <c r="AQ425" s="145"/>
    </row>
    <row r="426" spans="1:43">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5"/>
      <c r="AL426" s="145"/>
      <c r="AM426" s="145"/>
      <c r="AN426" s="145"/>
      <c r="AO426" s="145"/>
      <c r="AP426" s="145"/>
      <c r="AQ426" s="145"/>
    </row>
    <row r="427" spans="1:43">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row>
    <row r="428" spans="1:43">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row>
    <row r="429" spans="1:43">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row>
    <row r="430" spans="1:43">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5"/>
      <c r="AI430" s="145"/>
      <c r="AJ430" s="145"/>
      <c r="AK430" s="145"/>
      <c r="AL430" s="145"/>
      <c r="AM430" s="145"/>
      <c r="AN430" s="145"/>
      <c r="AO430" s="145"/>
      <c r="AP430" s="145"/>
      <c r="AQ430" s="145"/>
    </row>
    <row r="431" spans="1:43">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c r="AD431" s="145"/>
      <c r="AE431" s="145"/>
      <c r="AF431" s="145"/>
      <c r="AG431" s="145"/>
      <c r="AH431" s="145"/>
      <c r="AI431" s="145"/>
      <c r="AJ431" s="145"/>
      <c r="AK431" s="145"/>
      <c r="AL431" s="145"/>
      <c r="AM431" s="145"/>
      <c r="AN431" s="145"/>
      <c r="AO431" s="145"/>
      <c r="AP431" s="145"/>
      <c r="AQ431" s="145"/>
    </row>
    <row r="432" spans="1:43">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c r="AD432" s="145"/>
      <c r="AE432" s="145"/>
      <c r="AF432" s="145"/>
      <c r="AG432" s="145"/>
      <c r="AH432" s="145"/>
      <c r="AI432" s="145"/>
      <c r="AJ432" s="145"/>
      <c r="AK432" s="145"/>
      <c r="AL432" s="145"/>
      <c r="AM432" s="145"/>
      <c r="AN432" s="145"/>
      <c r="AO432" s="145"/>
      <c r="AP432" s="145"/>
      <c r="AQ432" s="145"/>
    </row>
    <row r="433" spans="1:43">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5"/>
      <c r="AL433" s="145"/>
      <c r="AM433" s="145"/>
      <c r="AN433" s="145"/>
      <c r="AO433" s="145"/>
      <c r="AP433" s="145"/>
      <c r="AQ433" s="145"/>
    </row>
    <row r="434" spans="1:43">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c r="AH434" s="145"/>
      <c r="AI434" s="145"/>
      <c r="AJ434" s="145"/>
      <c r="AK434" s="145"/>
      <c r="AL434" s="145"/>
      <c r="AM434" s="145"/>
      <c r="AN434" s="145"/>
      <c r="AO434" s="145"/>
      <c r="AP434" s="145"/>
      <c r="AQ434" s="145"/>
    </row>
    <row r="435" spans="1:43">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5"/>
      <c r="AI435" s="145"/>
      <c r="AJ435" s="145"/>
      <c r="AK435" s="145"/>
      <c r="AL435" s="145"/>
      <c r="AM435" s="145"/>
      <c r="AN435" s="145"/>
      <c r="AO435" s="145"/>
      <c r="AP435" s="145"/>
      <c r="AQ435" s="145"/>
    </row>
    <row r="436" spans="1:43">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5"/>
      <c r="AL436" s="145"/>
      <c r="AM436" s="145"/>
      <c r="AN436" s="145"/>
      <c r="AO436" s="145"/>
      <c r="AP436" s="145"/>
      <c r="AQ436" s="145"/>
    </row>
    <row r="437" spans="1:43">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5"/>
      <c r="AL437" s="145"/>
      <c r="AM437" s="145"/>
      <c r="AN437" s="145"/>
      <c r="AO437" s="145"/>
      <c r="AP437" s="145"/>
      <c r="AQ437" s="145"/>
    </row>
    <row r="438" spans="1:43">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5"/>
      <c r="AL438" s="145"/>
      <c r="AM438" s="145"/>
      <c r="AN438" s="145"/>
      <c r="AO438" s="145"/>
      <c r="AP438" s="145"/>
      <c r="AQ438" s="145"/>
    </row>
    <row r="439" spans="1:43">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5"/>
      <c r="AL439" s="145"/>
      <c r="AM439" s="145"/>
      <c r="AN439" s="145"/>
      <c r="AO439" s="145"/>
      <c r="AP439" s="145"/>
      <c r="AQ439" s="145"/>
    </row>
    <row r="440" spans="1:43">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5"/>
      <c r="AL440" s="145"/>
      <c r="AM440" s="145"/>
      <c r="AN440" s="145"/>
      <c r="AO440" s="145"/>
      <c r="AP440" s="145"/>
      <c r="AQ440" s="145"/>
    </row>
    <row r="441" spans="1:43">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5"/>
      <c r="AL441" s="145"/>
      <c r="AM441" s="145"/>
      <c r="AN441" s="145"/>
      <c r="AO441" s="145"/>
      <c r="AP441" s="145"/>
      <c r="AQ441" s="145"/>
    </row>
    <row r="442" spans="1:43">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5"/>
      <c r="AL442" s="145"/>
      <c r="AM442" s="145"/>
      <c r="AN442" s="145"/>
      <c r="AO442" s="145"/>
      <c r="AP442" s="145"/>
      <c r="AQ442" s="145"/>
    </row>
    <row r="443" spans="1:43">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5"/>
      <c r="AL443" s="145"/>
      <c r="AM443" s="145"/>
      <c r="AN443" s="145"/>
      <c r="AO443" s="145"/>
      <c r="AP443" s="145"/>
      <c r="AQ443" s="145"/>
    </row>
    <row r="444" spans="1:43">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5"/>
      <c r="AL444" s="145"/>
      <c r="AM444" s="145"/>
      <c r="AN444" s="145"/>
      <c r="AO444" s="145"/>
      <c r="AP444" s="145"/>
      <c r="AQ444" s="145"/>
    </row>
    <row r="445" spans="1:43">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5"/>
      <c r="AL445" s="145"/>
      <c r="AM445" s="145"/>
      <c r="AN445" s="145"/>
      <c r="AO445" s="145"/>
      <c r="AP445" s="145"/>
      <c r="AQ445" s="145"/>
    </row>
    <row r="446" spans="1:43">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5"/>
      <c r="AL446" s="145"/>
      <c r="AM446" s="145"/>
      <c r="AN446" s="145"/>
      <c r="AO446" s="145"/>
      <c r="AP446" s="145"/>
      <c r="AQ446" s="145"/>
    </row>
    <row r="447" spans="1:43">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5"/>
      <c r="AL447" s="145"/>
      <c r="AM447" s="145"/>
      <c r="AN447" s="145"/>
      <c r="AO447" s="145"/>
      <c r="AP447" s="145"/>
      <c r="AQ447" s="145"/>
    </row>
    <row r="448" spans="1:43">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5"/>
      <c r="AL448" s="145"/>
      <c r="AM448" s="145"/>
      <c r="AN448" s="145"/>
      <c r="AO448" s="145"/>
      <c r="AP448" s="145"/>
      <c r="AQ448" s="145"/>
    </row>
    <row r="449" spans="1:43">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5"/>
      <c r="AL449" s="145"/>
      <c r="AM449" s="145"/>
      <c r="AN449" s="145"/>
      <c r="AO449" s="145"/>
      <c r="AP449" s="145"/>
      <c r="AQ449" s="145"/>
    </row>
    <row r="450" spans="1:43">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5"/>
      <c r="AL450" s="145"/>
      <c r="AM450" s="145"/>
      <c r="AN450" s="145"/>
      <c r="AO450" s="145"/>
      <c r="AP450" s="145"/>
      <c r="AQ450" s="145"/>
    </row>
    <row r="451" spans="1:43">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5"/>
      <c r="AL451" s="145"/>
      <c r="AM451" s="145"/>
      <c r="AN451" s="145"/>
      <c r="AO451" s="145"/>
      <c r="AP451" s="145"/>
      <c r="AQ451" s="145"/>
    </row>
    <row r="452" spans="1:43">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5"/>
      <c r="AL452" s="145"/>
      <c r="AM452" s="145"/>
      <c r="AN452" s="145"/>
      <c r="AO452" s="145"/>
      <c r="AP452" s="145"/>
      <c r="AQ452" s="145"/>
    </row>
    <row r="453" spans="1:43">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5"/>
      <c r="AL453" s="145"/>
      <c r="AM453" s="145"/>
      <c r="AN453" s="145"/>
      <c r="AO453" s="145"/>
      <c r="AP453" s="145"/>
      <c r="AQ453" s="145"/>
    </row>
    <row r="454" spans="1:43">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5"/>
      <c r="AL454" s="145"/>
      <c r="AM454" s="145"/>
      <c r="AN454" s="145"/>
      <c r="AO454" s="145"/>
      <c r="AP454" s="145"/>
      <c r="AQ454" s="145"/>
    </row>
    <row r="455" spans="1:43">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5"/>
      <c r="AI455" s="145"/>
      <c r="AJ455" s="145"/>
      <c r="AK455" s="145"/>
      <c r="AL455" s="145"/>
      <c r="AM455" s="145"/>
      <c r="AN455" s="145"/>
      <c r="AO455" s="145"/>
      <c r="AP455" s="145"/>
      <c r="AQ455" s="145"/>
    </row>
    <row r="456" spans="1:43">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5"/>
      <c r="AL456" s="145"/>
      <c r="AM456" s="145"/>
      <c r="AN456" s="145"/>
      <c r="AO456" s="145"/>
      <c r="AP456" s="145"/>
      <c r="AQ456" s="145"/>
    </row>
    <row r="457" spans="1:43">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5"/>
      <c r="AL457" s="145"/>
      <c r="AM457" s="145"/>
      <c r="AN457" s="145"/>
      <c r="AO457" s="145"/>
      <c r="AP457" s="145"/>
      <c r="AQ457" s="145"/>
    </row>
    <row r="458" spans="1:43">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5"/>
      <c r="AL458" s="145"/>
      <c r="AM458" s="145"/>
      <c r="AN458" s="145"/>
      <c r="AO458" s="145"/>
      <c r="AP458" s="145"/>
      <c r="AQ458" s="145"/>
    </row>
    <row r="459" spans="1:43">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5"/>
      <c r="AL459" s="145"/>
      <c r="AM459" s="145"/>
      <c r="AN459" s="145"/>
      <c r="AO459" s="145"/>
      <c r="AP459" s="145"/>
      <c r="AQ459" s="145"/>
    </row>
    <row r="460" spans="1:43">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5"/>
      <c r="AL460" s="145"/>
      <c r="AM460" s="145"/>
      <c r="AN460" s="145"/>
      <c r="AO460" s="145"/>
      <c r="AP460" s="145"/>
      <c r="AQ460" s="145"/>
    </row>
    <row r="461" spans="1:43">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5"/>
      <c r="AL461" s="145"/>
      <c r="AM461" s="145"/>
      <c r="AN461" s="145"/>
      <c r="AO461" s="145"/>
      <c r="AP461" s="145"/>
      <c r="AQ461" s="145"/>
    </row>
    <row r="462" spans="1:43">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5"/>
      <c r="AL462" s="145"/>
      <c r="AM462" s="145"/>
      <c r="AN462" s="145"/>
      <c r="AO462" s="145"/>
      <c r="AP462" s="145"/>
      <c r="AQ462" s="145"/>
    </row>
    <row r="463" spans="1:43">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5"/>
      <c r="AL463" s="145"/>
      <c r="AM463" s="145"/>
      <c r="AN463" s="145"/>
      <c r="AO463" s="145"/>
      <c r="AP463" s="145"/>
      <c r="AQ463" s="145"/>
    </row>
    <row r="464" spans="1:43">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5"/>
      <c r="AJ464" s="145"/>
      <c r="AK464" s="145"/>
      <c r="AL464" s="145"/>
      <c r="AM464" s="145"/>
      <c r="AN464" s="145"/>
      <c r="AO464" s="145"/>
      <c r="AP464" s="145"/>
      <c r="AQ464" s="145"/>
    </row>
    <row r="465" spans="1:43">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c r="AD465" s="145"/>
      <c r="AE465" s="145"/>
      <c r="AF465" s="145"/>
      <c r="AG465" s="145"/>
      <c r="AH465" s="145"/>
      <c r="AI465" s="145"/>
      <c r="AJ465" s="145"/>
      <c r="AK465" s="145"/>
      <c r="AL465" s="145"/>
      <c r="AM465" s="145"/>
      <c r="AN465" s="145"/>
      <c r="AO465" s="145"/>
      <c r="AP465" s="145"/>
      <c r="AQ465" s="145"/>
    </row>
    <row r="466" spans="1:43">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5"/>
      <c r="AL466" s="145"/>
      <c r="AM466" s="145"/>
      <c r="AN466" s="145"/>
      <c r="AO466" s="145"/>
      <c r="AP466" s="145"/>
      <c r="AQ466" s="145"/>
    </row>
    <row r="467" spans="1:43">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c r="AD467" s="145"/>
      <c r="AE467" s="145"/>
      <c r="AF467" s="145"/>
      <c r="AG467" s="145"/>
      <c r="AH467" s="145"/>
      <c r="AI467" s="145"/>
      <c r="AJ467" s="145"/>
      <c r="AK467" s="145"/>
      <c r="AL467" s="145"/>
      <c r="AM467" s="145"/>
      <c r="AN467" s="145"/>
      <c r="AO467" s="145"/>
      <c r="AP467" s="145"/>
      <c r="AQ467" s="145"/>
    </row>
    <row r="468" spans="1:43">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c r="AD468" s="145"/>
      <c r="AE468" s="145"/>
      <c r="AF468" s="145"/>
      <c r="AG468" s="145"/>
      <c r="AH468" s="145"/>
      <c r="AI468" s="145"/>
      <c r="AJ468" s="145"/>
      <c r="AK468" s="145"/>
      <c r="AL468" s="145"/>
      <c r="AM468" s="145"/>
      <c r="AN468" s="145"/>
      <c r="AO468" s="145"/>
      <c r="AP468" s="145"/>
      <c r="AQ468" s="145"/>
    </row>
    <row r="469" spans="1:43">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5"/>
      <c r="AI469" s="145"/>
      <c r="AJ469" s="145"/>
      <c r="AK469" s="145"/>
      <c r="AL469" s="145"/>
      <c r="AM469" s="145"/>
      <c r="AN469" s="145"/>
      <c r="AO469" s="145"/>
      <c r="AP469" s="145"/>
      <c r="AQ469" s="145"/>
    </row>
    <row r="470" spans="1:43">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5"/>
      <c r="AI470" s="145"/>
      <c r="AJ470" s="145"/>
      <c r="AK470" s="145"/>
      <c r="AL470" s="145"/>
      <c r="AM470" s="145"/>
      <c r="AN470" s="145"/>
      <c r="AO470" s="145"/>
      <c r="AP470" s="145"/>
      <c r="AQ470" s="145"/>
    </row>
    <row r="471" spans="1:43">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5"/>
      <c r="AI471" s="145"/>
      <c r="AJ471" s="145"/>
      <c r="AK471" s="145"/>
      <c r="AL471" s="145"/>
      <c r="AM471" s="145"/>
      <c r="AN471" s="145"/>
      <c r="AO471" s="145"/>
      <c r="AP471" s="145"/>
      <c r="AQ471" s="145"/>
    </row>
    <row r="472" spans="1:43">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145"/>
      <c r="AL472" s="145"/>
      <c r="AM472" s="145"/>
      <c r="AN472" s="145"/>
      <c r="AO472" s="145"/>
      <c r="AP472" s="145"/>
      <c r="AQ472" s="145"/>
    </row>
    <row r="473" spans="1:43">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45"/>
      <c r="AL473" s="145"/>
      <c r="AM473" s="145"/>
      <c r="AN473" s="145"/>
      <c r="AO473" s="145"/>
      <c r="AP473" s="145"/>
      <c r="AQ473" s="145"/>
    </row>
    <row r="474" spans="1:43">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5"/>
      <c r="AI474" s="145"/>
      <c r="AJ474" s="145"/>
      <c r="AK474" s="145"/>
      <c r="AL474" s="145"/>
      <c r="AM474" s="145"/>
      <c r="AN474" s="145"/>
      <c r="AO474" s="145"/>
      <c r="AP474" s="145"/>
      <c r="AQ474" s="145"/>
    </row>
    <row r="475" spans="1:43">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5"/>
      <c r="AI475" s="145"/>
      <c r="AJ475" s="145"/>
      <c r="AK475" s="145"/>
      <c r="AL475" s="145"/>
      <c r="AM475" s="145"/>
      <c r="AN475" s="145"/>
      <c r="AO475" s="145"/>
      <c r="AP475" s="145"/>
      <c r="AQ475" s="145"/>
    </row>
    <row r="476" spans="1:43">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5"/>
      <c r="AI476" s="145"/>
      <c r="AJ476" s="145"/>
      <c r="AK476" s="145"/>
      <c r="AL476" s="145"/>
      <c r="AM476" s="145"/>
      <c r="AN476" s="145"/>
      <c r="AO476" s="145"/>
      <c r="AP476" s="145"/>
      <c r="AQ476" s="145"/>
    </row>
    <row r="477" spans="1:43">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c r="AD477" s="145"/>
      <c r="AE477" s="145"/>
      <c r="AF477" s="145"/>
      <c r="AG477" s="145"/>
      <c r="AH477" s="145"/>
      <c r="AI477" s="145"/>
      <c r="AJ477" s="145"/>
      <c r="AK477" s="145"/>
      <c r="AL477" s="145"/>
      <c r="AM477" s="145"/>
      <c r="AN477" s="145"/>
      <c r="AO477" s="145"/>
      <c r="AP477" s="145"/>
      <c r="AQ477" s="145"/>
    </row>
    <row r="478" spans="1:43">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c r="AD478" s="145"/>
      <c r="AE478" s="145"/>
      <c r="AF478" s="145"/>
      <c r="AG478" s="145"/>
      <c r="AH478" s="145"/>
      <c r="AI478" s="145"/>
      <c r="AJ478" s="145"/>
      <c r="AK478" s="145"/>
      <c r="AL478" s="145"/>
      <c r="AM478" s="145"/>
      <c r="AN478" s="145"/>
      <c r="AO478" s="145"/>
      <c r="AP478" s="145"/>
      <c r="AQ478" s="145"/>
    </row>
    <row r="479" spans="1:43">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c r="AH479" s="145"/>
      <c r="AI479" s="145"/>
      <c r="AJ479" s="145"/>
      <c r="AK479" s="145"/>
      <c r="AL479" s="145"/>
      <c r="AM479" s="145"/>
      <c r="AN479" s="145"/>
      <c r="AO479" s="145"/>
      <c r="AP479" s="145"/>
      <c r="AQ479" s="145"/>
    </row>
    <row r="480" spans="1:43">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c r="AH480" s="145"/>
      <c r="AI480" s="145"/>
      <c r="AJ480" s="145"/>
      <c r="AK480" s="145"/>
      <c r="AL480" s="145"/>
      <c r="AM480" s="145"/>
      <c r="AN480" s="145"/>
      <c r="AO480" s="145"/>
      <c r="AP480" s="145"/>
      <c r="AQ480" s="145"/>
    </row>
    <row r="481" spans="1:43">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row>
    <row r="482" spans="1:43">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row>
    <row r="483" spans="1:43">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row>
    <row r="484" spans="1:43">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5"/>
      <c r="AI484" s="145"/>
      <c r="AJ484" s="145"/>
      <c r="AK484" s="145"/>
      <c r="AL484" s="145"/>
      <c r="AM484" s="145"/>
      <c r="AN484" s="145"/>
      <c r="AO484" s="145"/>
      <c r="AP484" s="145"/>
      <c r="AQ484" s="145"/>
    </row>
    <row r="485" spans="1:43">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5"/>
      <c r="AI485" s="145"/>
      <c r="AJ485" s="145"/>
      <c r="AK485" s="145"/>
      <c r="AL485" s="145"/>
      <c r="AM485" s="145"/>
      <c r="AN485" s="145"/>
      <c r="AO485" s="145"/>
      <c r="AP485" s="145"/>
      <c r="AQ485" s="145"/>
    </row>
    <row r="486" spans="1:43">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c r="AD486" s="145"/>
      <c r="AE486" s="145"/>
      <c r="AF486" s="145"/>
      <c r="AG486" s="145"/>
      <c r="AH486" s="145"/>
      <c r="AI486" s="145"/>
      <c r="AJ486" s="145"/>
      <c r="AK486" s="145"/>
      <c r="AL486" s="145"/>
      <c r="AM486" s="145"/>
      <c r="AN486" s="145"/>
      <c r="AO486" s="145"/>
      <c r="AP486" s="145"/>
      <c r="AQ486" s="145"/>
    </row>
    <row r="487" spans="1:43">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c r="AH487" s="145"/>
      <c r="AI487" s="145"/>
      <c r="AJ487" s="145"/>
      <c r="AK487" s="145"/>
      <c r="AL487" s="145"/>
      <c r="AM487" s="145"/>
      <c r="AN487" s="145"/>
      <c r="AO487" s="145"/>
      <c r="AP487" s="145"/>
      <c r="AQ487" s="145"/>
    </row>
    <row r="488" spans="1:43">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c r="AD488" s="145"/>
      <c r="AE488" s="145"/>
      <c r="AF488" s="145"/>
      <c r="AG488" s="145"/>
      <c r="AH488" s="145"/>
      <c r="AI488" s="145"/>
      <c r="AJ488" s="145"/>
      <c r="AK488" s="145"/>
      <c r="AL488" s="145"/>
      <c r="AM488" s="145"/>
      <c r="AN488" s="145"/>
      <c r="AO488" s="145"/>
      <c r="AP488" s="145"/>
      <c r="AQ488" s="145"/>
    </row>
    <row r="489" spans="1:43">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c r="AH489" s="145"/>
      <c r="AI489" s="145"/>
      <c r="AJ489" s="145"/>
      <c r="AK489" s="145"/>
      <c r="AL489" s="145"/>
      <c r="AM489" s="145"/>
      <c r="AN489" s="145"/>
      <c r="AO489" s="145"/>
      <c r="AP489" s="145"/>
      <c r="AQ489" s="145"/>
    </row>
    <row r="490" spans="1:43">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c r="AD490" s="145"/>
      <c r="AE490" s="145"/>
      <c r="AF490" s="145"/>
      <c r="AG490" s="145"/>
      <c r="AH490" s="145"/>
      <c r="AI490" s="145"/>
      <c r="AJ490" s="145"/>
      <c r="AK490" s="145"/>
      <c r="AL490" s="145"/>
      <c r="AM490" s="145"/>
      <c r="AN490" s="145"/>
      <c r="AO490" s="145"/>
      <c r="AP490" s="145"/>
      <c r="AQ490" s="145"/>
    </row>
    <row r="491" spans="1:43">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c r="AD491" s="145"/>
      <c r="AE491" s="145"/>
      <c r="AF491" s="145"/>
      <c r="AG491" s="145"/>
      <c r="AH491" s="145"/>
      <c r="AI491" s="145"/>
      <c r="AJ491" s="145"/>
      <c r="AK491" s="145"/>
      <c r="AL491" s="145"/>
      <c r="AM491" s="145"/>
      <c r="AN491" s="145"/>
      <c r="AO491" s="145"/>
      <c r="AP491" s="145"/>
      <c r="AQ491" s="145"/>
    </row>
    <row r="492" spans="1:43">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c r="AD492" s="145"/>
      <c r="AE492" s="145"/>
      <c r="AF492" s="145"/>
      <c r="AG492" s="145"/>
      <c r="AH492" s="145"/>
      <c r="AI492" s="145"/>
      <c r="AJ492" s="145"/>
      <c r="AK492" s="145"/>
      <c r="AL492" s="145"/>
      <c r="AM492" s="145"/>
      <c r="AN492" s="145"/>
      <c r="AO492" s="145"/>
      <c r="AP492" s="145"/>
      <c r="AQ492" s="145"/>
    </row>
    <row r="493" spans="1:43">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c r="AD493" s="145"/>
      <c r="AE493" s="145"/>
      <c r="AF493" s="145"/>
      <c r="AG493" s="145"/>
      <c r="AH493" s="145"/>
      <c r="AI493" s="145"/>
      <c r="AJ493" s="145"/>
      <c r="AK493" s="145"/>
      <c r="AL493" s="145"/>
      <c r="AM493" s="145"/>
      <c r="AN493" s="145"/>
      <c r="AO493" s="145"/>
      <c r="AP493" s="145"/>
      <c r="AQ493" s="145"/>
    </row>
    <row r="494" spans="1:43">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c r="AD494" s="145"/>
      <c r="AE494" s="145"/>
      <c r="AF494" s="145"/>
      <c r="AG494" s="145"/>
      <c r="AH494" s="145"/>
      <c r="AI494" s="145"/>
      <c r="AJ494" s="145"/>
      <c r="AK494" s="145"/>
      <c r="AL494" s="145"/>
      <c r="AM494" s="145"/>
      <c r="AN494" s="145"/>
      <c r="AO494" s="145"/>
      <c r="AP494" s="145"/>
      <c r="AQ494" s="145"/>
    </row>
    <row r="495" spans="1:43">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45"/>
      <c r="AL495" s="145"/>
      <c r="AM495" s="145"/>
      <c r="AN495" s="145"/>
      <c r="AO495" s="145"/>
      <c r="AP495" s="145"/>
      <c r="AQ495" s="145"/>
    </row>
    <row r="496" spans="1:43">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c r="AD496" s="145"/>
      <c r="AE496" s="145"/>
      <c r="AF496" s="145"/>
      <c r="AG496" s="145"/>
      <c r="AH496" s="145"/>
      <c r="AI496" s="145"/>
      <c r="AJ496" s="145"/>
      <c r="AK496" s="145"/>
      <c r="AL496" s="145"/>
      <c r="AM496" s="145"/>
      <c r="AN496" s="145"/>
      <c r="AO496" s="145"/>
      <c r="AP496" s="145"/>
      <c r="AQ496" s="145"/>
    </row>
    <row r="497" spans="1:43">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c r="AD497" s="145"/>
      <c r="AE497" s="145"/>
      <c r="AF497" s="145"/>
      <c r="AG497" s="145"/>
      <c r="AH497" s="145"/>
      <c r="AI497" s="145"/>
      <c r="AJ497" s="145"/>
      <c r="AK497" s="145"/>
      <c r="AL497" s="145"/>
      <c r="AM497" s="145"/>
      <c r="AN497" s="145"/>
      <c r="AO497" s="145"/>
      <c r="AP497" s="145"/>
      <c r="AQ497" s="145"/>
    </row>
    <row r="498" spans="1:43">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c r="AA498" s="145"/>
      <c r="AB498" s="145"/>
      <c r="AC498" s="145"/>
      <c r="AD498" s="145"/>
      <c r="AE498" s="145"/>
      <c r="AF498" s="145"/>
      <c r="AG498" s="145"/>
      <c r="AH498" s="145"/>
      <c r="AI498" s="145"/>
      <c r="AJ498" s="145"/>
      <c r="AK498" s="145"/>
      <c r="AL498" s="145"/>
      <c r="AM498" s="145"/>
      <c r="AN498" s="145"/>
      <c r="AO498" s="145"/>
      <c r="AP498" s="145"/>
      <c r="AQ498" s="145"/>
    </row>
    <row r="499" spans="1:43">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c r="AD499" s="145"/>
      <c r="AE499" s="145"/>
      <c r="AF499" s="145"/>
      <c r="AG499" s="145"/>
      <c r="AH499" s="145"/>
      <c r="AI499" s="145"/>
      <c r="AJ499" s="145"/>
      <c r="AK499" s="145"/>
      <c r="AL499" s="145"/>
      <c r="AM499" s="145"/>
      <c r="AN499" s="145"/>
      <c r="AO499" s="145"/>
      <c r="AP499" s="145"/>
      <c r="AQ499" s="145"/>
    </row>
    <row r="500" spans="1:43">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c r="AD500" s="145"/>
      <c r="AE500" s="145"/>
      <c r="AF500" s="145"/>
      <c r="AG500" s="145"/>
      <c r="AH500" s="145"/>
      <c r="AI500" s="145"/>
      <c r="AJ500" s="145"/>
      <c r="AK500" s="145"/>
      <c r="AL500" s="145"/>
      <c r="AM500" s="145"/>
      <c r="AN500" s="145"/>
      <c r="AO500" s="145"/>
      <c r="AP500" s="145"/>
      <c r="AQ500" s="145"/>
    </row>
    <row r="501" spans="1:43">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c r="AD501" s="145"/>
      <c r="AE501" s="145"/>
      <c r="AF501" s="145"/>
      <c r="AG501" s="145"/>
      <c r="AH501" s="145"/>
      <c r="AI501" s="145"/>
      <c r="AJ501" s="145"/>
      <c r="AK501" s="145"/>
      <c r="AL501" s="145"/>
      <c r="AM501" s="145"/>
      <c r="AN501" s="145"/>
      <c r="AO501" s="145"/>
      <c r="AP501" s="145"/>
      <c r="AQ501" s="145"/>
    </row>
    <row r="502" spans="1:43">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c r="AD502" s="145"/>
      <c r="AE502" s="145"/>
      <c r="AF502" s="145"/>
      <c r="AG502" s="145"/>
      <c r="AH502" s="145"/>
      <c r="AI502" s="145"/>
      <c r="AJ502" s="145"/>
      <c r="AK502" s="145"/>
      <c r="AL502" s="145"/>
      <c r="AM502" s="145"/>
      <c r="AN502" s="145"/>
      <c r="AO502" s="145"/>
      <c r="AP502" s="145"/>
      <c r="AQ502" s="145"/>
    </row>
    <row r="503" spans="1:43">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c r="AD503" s="145"/>
      <c r="AE503" s="145"/>
      <c r="AF503" s="145"/>
      <c r="AG503" s="145"/>
      <c r="AH503" s="145"/>
      <c r="AI503" s="145"/>
      <c r="AJ503" s="145"/>
      <c r="AK503" s="145"/>
      <c r="AL503" s="145"/>
      <c r="AM503" s="145"/>
      <c r="AN503" s="145"/>
      <c r="AO503" s="145"/>
      <c r="AP503" s="145"/>
      <c r="AQ503" s="145"/>
    </row>
    <row r="504" spans="1:43">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c r="AD504" s="145"/>
      <c r="AE504" s="145"/>
      <c r="AF504" s="145"/>
      <c r="AG504" s="145"/>
      <c r="AH504" s="145"/>
      <c r="AI504" s="145"/>
      <c r="AJ504" s="145"/>
      <c r="AK504" s="145"/>
      <c r="AL504" s="145"/>
      <c r="AM504" s="145"/>
      <c r="AN504" s="145"/>
      <c r="AO504" s="145"/>
      <c r="AP504" s="145"/>
      <c r="AQ504" s="145"/>
    </row>
    <row r="505" spans="1:43">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c r="AD505" s="145"/>
      <c r="AE505" s="145"/>
      <c r="AF505" s="145"/>
      <c r="AG505" s="145"/>
      <c r="AH505" s="145"/>
      <c r="AI505" s="145"/>
      <c r="AJ505" s="145"/>
      <c r="AK505" s="145"/>
      <c r="AL505" s="145"/>
      <c r="AM505" s="145"/>
      <c r="AN505" s="145"/>
      <c r="AO505" s="145"/>
      <c r="AP505" s="145"/>
      <c r="AQ505" s="145"/>
    </row>
    <row r="506" spans="1:43">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c r="AD506" s="145"/>
      <c r="AE506" s="145"/>
      <c r="AF506" s="145"/>
      <c r="AG506" s="145"/>
      <c r="AH506" s="145"/>
      <c r="AI506" s="145"/>
      <c r="AJ506" s="145"/>
      <c r="AK506" s="145"/>
      <c r="AL506" s="145"/>
      <c r="AM506" s="145"/>
      <c r="AN506" s="145"/>
      <c r="AO506" s="145"/>
      <c r="AP506" s="145"/>
      <c r="AQ506" s="145"/>
    </row>
    <row r="507" spans="1:43">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c r="AD507" s="145"/>
      <c r="AE507" s="145"/>
      <c r="AF507" s="145"/>
      <c r="AG507" s="145"/>
      <c r="AH507" s="145"/>
      <c r="AI507" s="145"/>
      <c r="AJ507" s="145"/>
      <c r="AK507" s="145"/>
      <c r="AL507" s="145"/>
      <c r="AM507" s="145"/>
      <c r="AN507" s="145"/>
      <c r="AO507" s="145"/>
      <c r="AP507" s="145"/>
      <c r="AQ507" s="145"/>
    </row>
    <row r="508" spans="1:43">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c r="AD508" s="145"/>
      <c r="AE508" s="145"/>
      <c r="AF508" s="145"/>
      <c r="AG508" s="145"/>
      <c r="AH508" s="145"/>
      <c r="AI508" s="145"/>
      <c r="AJ508" s="145"/>
      <c r="AK508" s="145"/>
      <c r="AL508" s="145"/>
      <c r="AM508" s="145"/>
      <c r="AN508" s="145"/>
      <c r="AO508" s="145"/>
      <c r="AP508" s="145"/>
      <c r="AQ508" s="145"/>
    </row>
    <row r="509" spans="1:43">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c r="AD509" s="145"/>
      <c r="AE509" s="145"/>
      <c r="AF509" s="145"/>
      <c r="AG509" s="145"/>
      <c r="AH509" s="145"/>
      <c r="AI509" s="145"/>
      <c r="AJ509" s="145"/>
      <c r="AK509" s="145"/>
      <c r="AL509" s="145"/>
      <c r="AM509" s="145"/>
      <c r="AN509" s="145"/>
      <c r="AO509" s="145"/>
      <c r="AP509" s="145"/>
      <c r="AQ509" s="145"/>
    </row>
    <row r="510" spans="1:43">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c r="AD510" s="145"/>
      <c r="AE510" s="145"/>
      <c r="AF510" s="145"/>
      <c r="AG510" s="145"/>
      <c r="AH510" s="145"/>
      <c r="AI510" s="145"/>
      <c r="AJ510" s="145"/>
      <c r="AK510" s="145"/>
      <c r="AL510" s="145"/>
      <c r="AM510" s="145"/>
      <c r="AN510" s="145"/>
      <c r="AO510" s="145"/>
      <c r="AP510" s="145"/>
      <c r="AQ510" s="145"/>
    </row>
    <row r="511" spans="1:43">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c r="AD511" s="145"/>
      <c r="AE511" s="145"/>
      <c r="AF511" s="145"/>
      <c r="AG511" s="145"/>
      <c r="AH511" s="145"/>
      <c r="AI511" s="145"/>
      <c r="AJ511" s="145"/>
      <c r="AK511" s="145"/>
      <c r="AL511" s="145"/>
      <c r="AM511" s="145"/>
      <c r="AN511" s="145"/>
      <c r="AO511" s="145"/>
      <c r="AP511" s="145"/>
      <c r="AQ511" s="145"/>
    </row>
    <row r="512" spans="1:43">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c r="AD512" s="145"/>
      <c r="AE512" s="145"/>
      <c r="AF512" s="145"/>
      <c r="AG512" s="145"/>
      <c r="AH512" s="145"/>
      <c r="AI512" s="145"/>
      <c r="AJ512" s="145"/>
      <c r="AK512" s="145"/>
      <c r="AL512" s="145"/>
      <c r="AM512" s="145"/>
      <c r="AN512" s="145"/>
      <c r="AO512" s="145"/>
      <c r="AP512" s="145"/>
      <c r="AQ512" s="145"/>
    </row>
    <row r="513" spans="1:43">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c r="AD513" s="145"/>
      <c r="AE513" s="145"/>
      <c r="AF513" s="145"/>
      <c r="AG513" s="145"/>
      <c r="AH513" s="145"/>
      <c r="AI513" s="145"/>
      <c r="AJ513" s="145"/>
      <c r="AK513" s="145"/>
      <c r="AL513" s="145"/>
      <c r="AM513" s="145"/>
      <c r="AN513" s="145"/>
      <c r="AO513" s="145"/>
      <c r="AP513" s="145"/>
      <c r="AQ513" s="145"/>
    </row>
    <row r="514" spans="1:43">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c r="AD514" s="145"/>
      <c r="AE514" s="145"/>
      <c r="AF514" s="145"/>
      <c r="AG514" s="145"/>
      <c r="AH514" s="145"/>
      <c r="AI514" s="145"/>
      <c r="AJ514" s="145"/>
      <c r="AK514" s="145"/>
      <c r="AL514" s="145"/>
      <c r="AM514" s="145"/>
      <c r="AN514" s="145"/>
      <c r="AO514" s="145"/>
      <c r="AP514" s="145"/>
      <c r="AQ514" s="145"/>
    </row>
    <row r="515" spans="1:43">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c r="AD515" s="145"/>
      <c r="AE515" s="145"/>
      <c r="AF515" s="145"/>
      <c r="AG515" s="145"/>
      <c r="AH515" s="145"/>
      <c r="AI515" s="145"/>
      <c r="AJ515" s="145"/>
      <c r="AK515" s="145"/>
      <c r="AL515" s="145"/>
      <c r="AM515" s="145"/>
      <c r="AN515" s="145"/>
      <c r="AO515" s="145"/>
      <c r="AP515" s="145"/>
      <c r="AQ515" s="145"/>
    </row>
    <row r="516" spans="1:43">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c r="AD516" s="145"/>
      <c r="AE516" s="145"/>
      <c r="AF516" s="145"/>
      <c r="AG516" s="145"/>
      <c r="AH516" s="145"/>
      <c r="AI516" s="145"/>
      <c r="AJ516" s="145"/>
      <c r="AK516" s="145"/>
      <c r="AL516" s="145"/>
      <c r="AM516" s="145"/>
      <c r="AN516" s="145"/>
      <c r="AO516" s="145"/>
      <c r="AP516" s="145"/>
      <c r="AQ516" s="145"/>
    </row>
    <row r="517" spans="1:43">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c r="AD517" s="145"/>
      <c r="AE517" s="145"/>
      <c r="AF517" s="145"/>
      <c r="AG517" s="145"/>
      <c r="AH517" s="145"/>
      <c r="AI517" s="145"/>
      <c r="AJ517" s="145"/>
      <c r="AK517" s="145"/>
      <c r="AL517" s="145"/>
      <c r="AM517" s="145"/>
      <c r="AN517" s="145"/>
      <c r="AO517" s="145"/>
      <c r="AP517" s="145"/>
      <c r="AQ517" s="145"/>
    </row>
    <row r="518" spans="1:43">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c r="AD518" s="145"/>
      <c r="AE518" s="145"/>
      <c r="AF518" s="145"/>
      <c r="AG518" s="145"/>
      <c r="AH518" s="145"/>
      <c r="AI518" s="145"/>
      <c r="AJ518" s="145"/>
      <c r="AK518" s="145"/>
      <c r="AL518" s="145"/>
      <c r="AM518" s="145"/>
      <c r="AN518" s="145"/>
      <c r="AO518" s="145"/>
      <c r="AP518" s="145"/>
      <c r="AQ518" s="145"/>
    </row>
    <row r="519" spans="1:43">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c r="AD519" s="145"/>
      <c r="AE519" s="145"/>
      <c r="AF519" s="145"/>
      <c r="AG519" s="145"/>
      <c r="AH519" s="145"/>
      <c r="AI519" s="145"/>
      <c r="AJ519" s="145"/>
      <c r="AK519" s="145"/>
      <c r="AL519" s="145"/>
      <c r="AM519" s="145"/>
      <c r="AN519" s="145"/>
      <c r="AO519" s="145"/>
      <c r="AP519" s="145"/>
      <c r="AQ519" s="145"/>
    </row>
    <row r="520" spans="1:43">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c r="AD520" s="145"/>
      <c r="AE520" s="145"/>
      <c r="AF520" s="145"/>
      <c r="AG520" s="145"/>
      <c r="AH520" s="145"/>
      <c r="AI520" s="145"/>
      <c r="AJ520" s="145"/>
      <c r="AK520" s="145"/>
      <c r="AL520" s="145"/>
      <c r="AM520" s="145"/>
      <c r="AN520" s="145"/>
      <c r="AO520" s="145"/>
      <c r="AP520" s="145"/>
      <c r="AQ520" s="145"/>
    </row>
    <row r="521" spans="1:43">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c r="AD521" s="145"/>
      <c r="AE521" s="145"/>
      <c r="AF521" s="145"/>
      <c r="AG521" s="145"/>
      <c r="AH521" s="145"/>
      <c r="AI521" s="145"/>
      <c r="AJ521" s="145"/>
      <c r="AK521" s="145"/>
      <c r="AL521" s="145"/>
      <c r="AM521" s="145"/>
      <c r="AN521" s="145"/>
      <c r="AO521" s="145"/>
      <c r="AP521" s="145"/>
      <c r="AQ521" s="145"/>
    </row>
    <row r="522" spans="1:43">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c r="AD522" s="145"/>
      <c r="AE522" s="145"/>
      <c r="AF522" s="145"/>
      <c r="AG522" s="145"/>
      <c r="AH522" s="145"/>
      <c r="AI522" s="145"/>
      <c r="AJ522" s="145"/>
      <c r="AK522" s="145"/>
      <c r="AL522" s="145"/>
      <c r="AM522" s="145"/>
      <c r="AN522" s="145"/>
      <c r="AO522" s="145"/>
      <c r="AP522" s="145"/>
      <c r="AQ522" s="145"/>
    </row>
    <row r="523" spans="1:43">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c r="AD523" s="145"/>
      <c r="AE523" s="145"/>
      <c r="AF523" s="145"/>
      <c r="AG523" s="145"/>
      <c r="AH523" s="145"/>
      <c r="AI523" s="145"/>
      <c r="AJ523" s="145"/>
      <c r="AK523" s="145"/>
      <c r="AL523" s="145"/>
      <c r="AM523" s="145"/>
      <c r="AN523" s="145"/>
      <c r="AO523" s="145"/>
      <c r="AP523" s="145"/>
      <c r="AQ523" s="145"/>
    </row>
    <row r="524" spans="1:43">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c r="AD524" s="145"/>
      <c r="AE524" s="145"/>
      <c r="AF524" s="145"/>
      <c r="AG524" s="145"/>
      <c r="AH524" s="145"/>
      <c r="AI524" s="145"/>
      <c r="AJ524" s="145"/>
      <c r="AK524" s="145"/>
      <c r="AL524" s="145"/>
      <c r="AM524" s="145"/>
      <c r="AN524" s="145"/>
      <c r="AO524" s="145"/>
      <c r="AP524" s="145"/>
      <c r="AQ524" s="145"/>
    </row>
    <row r="525" spans="1:43">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c r="AC525" s="145"/>
      <c r="AD525" s="145"/>
      <c r="AE525" s="145"/>
      <c r="AF525" s="145"/>
      <c r="AG525" s="145"/>
      <c r="AH525" s="145"/>
      <c r="AI525" s="145"/>
      <c r="AJ525" s="145"/>
      <c r="AK525" s="145"/>
      <c r="AL525" s="145"/>
      <c r="AM525" s="145"/>
      <c r="AN525" s="145"/>
      <c r="AO525" s="145"/>
      <c r="AP525" s="145"/>
      <c r="AQ525" s="145"/>
    </row>
    <row r="526" spans="1:43">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c r="AD526" s="145"/>
      <c r="AE526" s="145"/>
      <c r="AF526" s="145"/>
      <c r="AG526" s="145"/>
      <c r="AH526" s="145"/>
      <c r="AI526" s="145"/>
      <c r="AJ526" s="145"/>
      <c r="AK526" s="145"/>
      <c r="AL526" s="145"/>
      <c r="AM526" s="145"/>
      <c r="AN526" s="145"/>
      <c r="AO526" s="145"/>
      <c r="AP526" s="145"/>
      <c r="AQ526" s="145"/>
    </row>
    <row r="527" spans="1:43">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c r="AC527" s="145"/>
      <c r="AD527" s="145"/>
      <c r="AE527" s="145"/>
      <c r="AF527" s="145"/>
      <c r="AG527" s="145"/>
      <c r="AH527" s="145"/>
      <c r="AI527" s="145"/>
      <c r="AJ527" s="145"/>
      <c r="AK527" s="145"/>
      <c r="AL527" s="145"/>
      <c r="AM527" s="145"/>
      <c r="AN527" s="145"/>
      <c r="AO527" s="145"/>
      <c r="AP527" s="145"/>
      <c r="AQ527" s="145"/>
    </row>
    <row r="528" spans="1:43">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c r="AA528" s="145"/>
      <c r="AB528" s="145"/>
      <c r="AC528" s="145"/>
      <c r="AD528" s="145"/>
      <c r="AE528" s="145"/>
      <c r="AF528" s="145"/>
      <c r="AG528" s="145"/>
      <c r="AH528" s="145"/>
      <c r="AI528" s="145"/>
      <c r="AJ528" s="145"/>
      <c r="AK528" s="145"/>
      <c r="AL528" s="145"/>
      <c r="AM528" s="145"/>
      <c r="AN528" s="145"/>
      <c r="AO528" s="145"/>
      <c r="AP528" s="145"/>
      <c r="AQ528" s="145"/>
    </row>
    <row r="529" spans="1:43">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c r="AC529" s="145"/>
      <c r="AD529" s="145"/>
      <c r="AE529" s="145"/>
      <c r="AF529" s="145"/>
      <c r="AG529" s="145"/>
      <c r="AH529" s="145"/>
      <c r="AI529" s="145"/>
      <c r="AJ529" s="145"/>
      <c r="AK529" s="145"/>
      <c r="AL529" s="145"/>
      <c r="AM529" s="145"/>
      <c r="AN529" s="145"/>
      <c r="AO529" s="145"/>
      <c r="AP529" s="145"/>
      <c r="AQ529" s="145"/>
    </row>
    <row r="530" spans="1:43">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c r="AA530" s="145"/>
      <c r="AB530" s="145"/>
      <c r="AC530" s="145"/>
      <c r="AD530" s="145"/>
      <c r="AE530" s="145"/>
      <c r="AF530" s="145"/>
      <c r="AG530" s="145"/>
      <c r="AH530" s="145"/>
      <c r="AI530" s="145"/>
      <c r="AJ530" s="145"/>
      <c r="AK530" s="145"/>
      <c r="AL530" s="145"/>
      <c r="AM530" s="145"/>
      <c r="AN530" s="145"/>
      <c r="AO530" s="145"/>
      <c r="AP530" s="145"/>
      <c r="AQ530" s="145"/>
    </row>
    <row r="531" spans="1:43">
      <c r="A531" s="145"/>
      <c r="B531" s="145"/>
      <c r="C531" s="145"/>
      <c r="D531" s="145"/>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c r="AA531" s="145"/>
      <c r="AB531" s="145"/>
      <c r="AC531" s="145"/>
      <c r="AD531" s="145"/>
      <c r="AE531" s="145"/>
      <c r="AF531" s="145"/>
      <c r="AG531" s="145"/>
      <c r="AH531" s="145"/>
      <c r="AI531" s="145"/>
      <c r="AJ531" s="145"/>
      <c r="AK531" s="145"/>
      <c r="AL531" s="145"/>
      <c r="AM531" s="145"/>
      <c r="AN531" s="145"/>
      <c r="AO531" s="145"/>
      <c r="AP531" s="145"/>
      <c r="AQ531" s="145"/>
    </row>
    <row r="532" spans="1:43">
      <c r="A532" s="145"/>
      <c r="B532" s="145"/>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c r="AA532" s="145"/>
      <c r="AB532" s="145"/>
      <c r="AC532" s="145"/>
      <c r="AD532" s="145"/>
      <c r="AE532" s="145"/>
      <c r="AF532" s="145"/>
      <c r="AG532" s="145"/>
      <c r="AH532" s="145"/>
      <c r="AI532" s="145"/>
      <c r="AJ532" s="145"/>
      <c r="AK532" s="145"/>
      <c r="AL532" s="145"/>
      <c r="AM532" s="145"/>
      <c r="AN532" s="145"/>
      <c r="AO532" s="145"/>
      <c r="AP532" s="145"/>
      <c r="AQ532" s="145"/>
    </row>
    <row r="533" spans="1:43">
      <c r="A533" s="145"/>
      <c r="B533" s="145"/>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c r="AA533" s="145"/>
      <c r="AB533" s="145"/>
      <c r="AC533" s="145"/>
      <c r="AD533" s="145"/>
      <c r="AE533" s="145"/>
      <c r="AF533" s="145"/>
      <c r="AG533" s="145"/>
      <c r="AH533" s="145"/>
      <c r="AI533" s="145"/>
      <c r="AJ533" s="145"/>
      <c r="AK533" s="145"/>
      <c r="AL533" s="145"/>
      <c r="AM533" s="145"/>
      <c r="AN533" s="145"/>
      <c r="AO533" s="145"/>
      <c r="AP533" s="145"/>
      <c r="AQ533" s="145"/>
    </row>
    <row r="534" spans="1:43">
      <c r="A534" s="145"/>
      <c r="B534" s="145"/>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c r="AA534" s="145"/>
      <c r="AB534" s="145"/>
      <c r="AC534" s="145"/>
      <c r="AD534" s="145"/>
      <c r="AE534" s="145"/>
      <c r="AF534" s="145"/>
      <c r="AG534" s="145"/>
      <c r="AH534" s="145"/>
      <c r="AI534" s="145"/>
      <c r="AJ534" s="145"/>
      <c r="AK534" s="145"/>
      <c r="AL534" s="145"/>
      <c r="AM534" s="145"/>
      <c r="AN534" s="145"/>
      <c r="AO534" s="145"/>
      <c r="AP534" s="145"/>
      <c r="AQ534" s="145"/>
    </row>
    <row r="535" spans="1:43">
      <c r="A535" s="145"/>
      <c r="B535" s="145"/>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row>
    <row r="536" spans="1:43">
      <c r="A536" s="145"/>
      <c r="B536" s="145"/>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row>
    <row r="537" spans="1:43">
      <c r="A537" s="145"/>
      <c r="B537" s="145"/>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row>
    <row r="538" spans="1:43">
      <c r="A538" s="145"/>
      <c r="B538" s="145"/>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c r="AA538" s="145"/>
      <c r="AB538" s="145"/>
      <c r="AC538" s="145"/>
      <c r="AD538" s="145"/>
      <c r="AE538" s="145"/>
      <c r="AF538" s="145"/>
      <c r="AG538" s="145"/>
      <c r="AH538" s="145"/>
      <c r="AI538" s="145"/>
      <c r="AJ538" s="145"/>
      <c r="AK538" s="145"/>
      <c r="AL538" s="145"/>
      <c r="AM538" s="145"/>
      <c r="AN538" s="145"/>
      <c r="AO538" s="145"/>
      <c r="AP538" s="145"/>
      <c r="AQ538" s="145"/>
    </row>
    <row r="539" spans="1:43">
      <c r="A539" s="145"/>
      <c r="B539" s="145"/>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c r="AA539" s="145"/>
      <c r="AB539" s="145"/>
      <c r="AC539" s="145"/>
      <c r="AD539" s="145"/>
      <c r="AE539" s="145"/>
      <c r="AF539" s="145"/>
      <c r="AG539" s="145"/>
      <c r="AH539" s="145"/>
      <c r="AI539" s="145"/>
      <c r="AJ539" s="145"/>
      <c r="AK539" s="145"/>
      <c r="AL539" s="145"/>
      <c r="AM539" s="145"/>
      <c r="AN539" s="145"/>
      <c r="AO539" s="145"/>
      <c r="AP539" s="145"/>
      <c r="AQ539" s="145"/>
    </row>
    <row r="540" spans="1:43">
      <c r="A540" s="145"/>
      <c r="B540" s="145"/>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c r="AA540" s="145"/>
      <c r="AB540" s="145"/>
      <c r="AC540" s="145"/>
      <c r="AD540" s="145"/>
      <c r="AE540" s="145"/>
      <c r="AF540" s="145"/>
      <c r="AG540" s="145"/>
      <c r="AH540" s="145"/>
      <c r="AI540" s="145"/>
      <c r="AJ540" s="145"/>
      <c r="AK540" s="145"/>
      <c r="AL540" s="145"/>
      <c r="AM540" s="145"/>
      <c r="AN540" s="145"/>
      <c r="AO540" s="145"/>
      <c r="AP540" s="145"/>
      <c r="AQ540" s="145"/>
    </row>
    <row r="541" spans="1:43">
      <c r="A541" s="145"/>
      <c r="B541" s="145"/>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c r="AA541" s="145"/>
      <c r="AB541" s="145"/>
      <c r="AC541" s="145"/>
      <c r="AD541" s="145"/>
      <c r="AE541" s="145"/>
      <c r="AF541" s="145"/>
      <c r="AG541" s="145"/>
      <c r="AH541" s="145"/>
      <c r="AI541" s="145"/>
      <c r="AJ541" s="145"/>
      <c r="AK541" s="145"/>
      <c r="AL541" s="145"/>
      <c r="AM541" s="145"/>
      <c r="AN541" s="145"/>
      <c r="AO541" s="145"/>
      <c r="AP541" s="145"/>
      <c r="AQ541" s="145"/>
    </row>
    <row r="542" spans="1:43">
      <c r="A542" s="145"/>
      <c r="B542" s="145"/>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c r="AA542" s="145"/>
      <c r="AB542" s="145"/>
      <c r="AC542" s="145"/>
      <c r="AD542" s="145"/>
      <c r="AE542" s="145"/>
      <c r="AF542" s="145"/>
      <c r="AG542" s="145"/>
      <c r="AH542" s="145"/>
      <c r="AI542" s="145"/>
      <c r="AJ542" s="145"/>
      <c r="AK542" s="145"/>
      <c r="AL542" s="145"/>
      <c r="AM542" s="145"/>
      <c r="AN542" s="145"/>
      <c r="AO542" s="145"/>
      <c r="AP542" s="145"/>
      <c r="AQ542" s="145"/>
    </row>
    <row r="543" spans="1:43">
      <c r="A543" s="145"/>
      <c r="B543" s="145"/>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c r="AA543" s="145"/>
      <c r="AB543" s="145"/>
      <c r="AC543" s="145"/>
      <c r="AD543" s="145"/>
      <c r="AE543" s="145"/>
      <c r="AF543" s="145"/>
      <c r="AG543" s="145"/>
      <c r="AH543" s="145"/>
      <c r="AI543" s="145"/>
      <c r="AJ543" s="145"/>
      <c r="AK543" s="145"/>
      <c r="AL543" s="145"/>
      <c r="AM543" s="145"/>
      <c r="AN543" s="145"/>
      <c r="AO543" s="145"/>
      <c r="AP543" s="145"/>
      <c r="AQ543" s="145"/>
    </row>
    <row r="544" spans="1:43">
      <c r="A544" s="145"/>
      <c r="B544" s="145"/>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c r="AA544" s="145"/>
      <c r="AB544" s="145"/>
      <c r="AC544" s="145"/>
      <c r="AD544" s="145"/>
      <c r="AE544" s="145"/>
      <c r="AF544" s="145"/>
      <c r="AG544" s="145"/>
      <c r="AH544" s="145"/>
      <c r="AI544" s="145"/>
      <c r="AJ544" s="145"/>
      <c r="AK544" s="145"/>
      <c r="AL544" s="145"/>
      <c r="AM544" s="145"/>
      <c r="AN544" s="145"/>
      <c r="AO544" s="145"/>
      <c r="AP544" s="145"/>
      <c r="AQ544" s="145"/>
    </row>
    <row r="545" spans="1:43">
      <c r="A545" s="145"/>
      <c r="B545" s="145"/>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c r="AA545" s="145"/>
      <c r="AB545" s="145"/>
      <c r="AC545" s="145"/>
      <c r="AD545" s="145"/>
      <c r="AE545" s="145"/>
      <c r="AF545" s="145"/>
      <c r="AG545" s="145"/>
      <c r="AH545" s="145"/>
      <c r="AI545" s="145"/>
      <c r="AJ545" s="145"/>
      <c r="AK545" s="145"/>
      <c r="AL545" s="145"/>
      <c r="AM545" s="145"/>
      <c r="AN545" s="145"/>
      <c r="AO545" s="145"/>
      <c r="AP545" s="145"/>
      <c r="AQ545" s="145"/>
    </row>
    <row r="546" spans="1:43">
      <c r="A546" s="145"/>
      <c r="B546" s="145"/>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c r="AA546" s="145"/>
      <c r="AB546" s="145"/>
      <c r="AC546" s="145"/>
      <c r="AD546" s="145"/>
      <c r="AE546" s="145"/>
      <c r="AF546" s="145"/>
      <c r="AG546" s="145"/>
      <c r="AH546" s="145"/>
      <c r="AI546" s="145"/>
      <c r="AJ546" s="145"/>
      <c r="AK546" s="145"/>
      <c r="AL546" s="145"/>
      <c r="AM546" s="145"/>
      <c r="AN546" s="145"/>
      <c r="AO546" s="145"/>
      <c r="AP546" s="145"/>
      <c r="AQ546" s="145"/>
    </row>
    <row r="547" spans="1:43">
      <c r="A547" s="145"/>
      <c r="B547" s="145"/>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c r="AA547" s="145"/>
      <c r="AB547" s="145"/>
      <c r="AC547" s="145"/>
      <c r="AD547" s="145"/>
      <c r="AE547" s="145"/>
      <c r="AF547" s="145"/>
      <c r="AG547" s="145"/>
      <c r="AH547" s="145"/>
      <c r="AI547" s="145"/>
      <c r="AJ547" s="145"/>
      <c r="AK547" s="145"/>
      <c r="AL547" s="145"/>
      <c r="AM547" s="145"/>
      <c r="AN547" s="145"/>
      <c r="AO547" s="145"/>
      <c r="AP547" s="145"/>
      <c r="AQ547" s="145"/>
    </row>
    <row r="548" spans="1:43">
      <c r="A548" s="145"/>
      <c r="B548" s="145"/>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c r="AA548" s="145"/>
      <c r="AB548" s="145"/>
      <c r="AC548" s="145"/>
      <c r="AD548" s="145"/>
      <c r="AE548" s="145"/>
      <c r="AF548" s="145"/>
      <c r="AG548" s="145"/>
      <c r="AH548" s="145"/>
      <c r="AI548" s="145"/>
      <c r="AJ548" s="145"/>
      <c r="AK548" s="145"/>
      <c r="AL548" s="145"/>
      <c r="AM548" s="145"/>
      <c r="AN548" s="145"/>
      <c r="AO548" s="145"/>
      <c r="AP548" s="145"/>
      <c r="AQ548" s="145"/>
    </row>
    <row r="549" spans="1:43">
      <c r="A549" s="145"/>
      <c r="B549" s="145"/>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c r="AA549" s="145"/>
      <c r="AB549" s="145"/>
      <c r="AC549" s="145"/>
      <c r="AD549" s="145"/>
      <c r="AE549" s="145"/>
      <c r="AF549" s="145"/>
      <c r="AG549" s="145"/>
      <c r="AH549" s="145"/>
      <c r="AI549" s="145"/>
      <c r="AJ549" s="145"/>
      <c r="AK549" s="145"/>
      <c r="AL549" s="145"/>
      <c r="AM549" s="145"/>
      <c r="AN549" s="145"/>
      <c r="AO549" s="145"/>
      <c r="AP549" s="145"/>
      <c r="AQ549" s="145"/>
    </row>
    <row r="550" spans="1:43">
      <c r="A550" s="145"/>
      <c r="B550" s="145"/>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c r="AA550" s="145"/>
      <c r="AB550" s="145"/>
      <c r="AC550" s="145"/>
      <c r="AD550" s="145"/>
      <c r="AE550" s="145"/>
      <c r="AF550" s="145"/>
      <c r="AG550" s="145"/>
      <c r="AH550" s="145"/>
      <c r="AI550" s="145"/>
      <c r="AJ550" s="145"/>
      <c r="AK550" s="145"/>
      <c r="AL550" s="145"/>
      <c r="AM550" s="145"/>
      <c r="AN550" s="145"/>
      <c r="AO550" s="145"/>
      <c r="AP550" s="145"/>
      <c r="AQ550" s="145"/>
    </row>
    <row r="551" spans="1:43">
      <c r="A551" s="145"/>
      <c r="B551" s="145"/>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c r="AA551" s="145"/>
      <c r="AB551" s="145"/>
      <c r="AC551" s="145"/>
      <c r="AD551" s="145"/>
      <c r="AE551" s="145"/>
      <c r="AF551" s="145"/>
      <c r="AG551" s="145"/>
      <c r="AH551" s="145"/>
      <c r="AI551" s="145"/>
      <c r="AJ551" s="145"/>
      <c r="AK551" s="145"/>
      <c r="AL551" s="145"/>
      <c r="AM551" s="145"/>
      <c r="AN551" s="145"/>
      <c r="AO551" s="145"/>
      <c r="AP551" s="145"/>
      <c r="AQ551" s="145"/>
    </row>
    <row r="552" spans="1:43">
      <c r="A552" s="145"/>
      <c r="B552" s="145"/>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c r="AA552" s="145"/>
      <c r="AB552" s="145"/>
      <c r="AC552" s="145"/>
      <c r="AD552" s="145"/>
      <c r="AE552" s="145"/>
      <c r="AF552" s="145"/>
      <c r="AG552" s="145"/>
      <c r="AH552" s="145"/>
      <c r="AI552" s="145"/>
      <c r="AJ552" s="145"/>
      <c r="AK552" s="145"/>
      <c r="AL552" s="145"/>
      <c r="AM552" s="145"/>
      <c r="AN552" s="145"/>
      <c r="AO552" s="145"/>
      <c r="AP552" s="145"/>
      <c r="AQ552" s="145"/>
    </row>
    <row r="553" spans="1:43">
      <c r="A553" s="145"/>
      <c r="B553" s="145"/>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c r="AA553" s="145"/>
      <c r="AB553" s="145"/>
      <c r="AC553" s="145"/>
      <c r="AD553" s="145"/>
      <c r="AE553" s="145"/>
      <c r="AF553" s="145"/>
      <c r="AG553" s="145"/>
      <c r="AH553" s="145"/>
      <c r="AI553" s="145"/>
      <c r="AJ553" s="145"/>
      <c r="AK553" s="145"/>
      <c r="AL553" s="145"/>
      <c r="AM553" s="145"/>
      <c r="AN553" s="145"/>
      <c r="AO553" s="145"/>
      <c r="AP553" s="145"/>
      <c r="AQ553" s="145"/>
    </row>
    <row r="554" spans="1:43">
      <c r="A554" s="145"/>
      <c r="B554" s="145"/>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c r="AA554" s="145"/>
      <c r="AB554" s="145"/>
      <c r="AC554" s="145"/>
      <c r="AD554" s="145"/>
      <c r="AE554" s="145"/>
      <c r="AF554" s="145"/>
      <c r="AG554" s="145"/>
      <c r="AH554" s="145"/>
      <c r="AI554" s="145"/>
      <c r="AJ554" s="145"/>
      <c r="AK554" s="145"/>
      <c r="AL554" s="145"/>
      <c r="AM554" s="145"/>
      <c r="AN554" s="145"/>
      <c r="AO554" s="145"/>
      <c r="AP554" s="145"/>
      <c r="AQ554" s="145"/>
    </row>
    <row r="555" spans="1:43">
      <c r="A555" s="145"/>
      <c r="B555" s="145"/>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c r="AA555" s="145"/>
      <c r="AB555" s="145"/>
      <c r="AC555" s="145"/>
      <c r="AD555" s="145"/>
      <c r="AE555" s="145"/>
      <c r="AF555" s="145"/>
      <c r="AG555" s="145"/>
      <c r="AH555" s="145"/>
      <c r="AI555" s="145"/>
      <c r="AJ555" s="145"/>
      <c r="AK555" s="145"/>
      <c r="AL555" s="145"/>
      <c r="AM555" s="145"/>
      <c r="AN555" s="145"/>
      <c r="AO555" s="145"/>
      <c r="AP555" s="145"/>
      <c r="AQ555" s="145"/>
    </row>
    <row r="556" spans="1:43">
      <c r="A556" s="145"/>
      <c r="B556" s="145"/>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c r="AA556" s="145"/>
      <c r="AB556" s="145"/>
      <c r="AC556" s="145"/>
      <c r="AD556" s="145"/>
      <c r="AE556" s="145"/>
      <c r="AF556" s="145"/>
      <c r="AG556" s="145"/>
      <c r="AH556" s="145"/>
      <c r="AI556" s="145"/>
      <c r="AJ556" s="145"/>
      <c r="AK556" s="145"/>
      <c r="AL556" s="145"/>
      <c r="AM556" s="145"/>
      <c r="AN556" s="145"/>
      <c r="AO556" s="145"/>
      <c r="AP556" s="145"/>
      <c r="AQ556" s="145"/>
    </row>
    <row r="557" spans="1:43">
      <c r="A557" s="145"/>
      <c r="B557" s="145"/>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c r="AA557" s="145"/>
      <c r="AB557" s="145"/>
      <c r="AC557" s="145"/>
      <c r="AD557" s="145"/>
      <c r="AE557" s="145"/>
      <c r="AF557" s="145"/>
      <c r="AG557" s="145"/>
      <c r="AH557" s="145"/>
      <c r="AI557" s="145"/>
      <c r="AJ557" s="145"/>
      <c r="AK557" s="145"/>
      <c r="AL557" s="145"/>
      <c r="AM557" s="145"/>
      <c r="AN557" s="145"/>
      <c r="AO557" s="145"/>
      <c r="AP557" s="145"/>
      <c r="AQ557" s="145"/>
    </row>
    <row r="558" spans="1:43">
      <c r="A558" s="145"/>
      <c r="B558" s="145"/>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c r="AA558" s="145"/>
      <c r="AB558" s="145"/>
      <c r="AC558" s="145"/>
      <c r="AD558" s="145"/>
      <c r="AE558" s="145"/>
      <c r="AF558" s="145"/>
      <c r="AG558" s="145"/>
      <c r="AH558" s="145"/>
      <c r="AI558" s="145"/>
      <c r="AJ558" s="145"/>
      <c r="AK558" s="145"/>
      <c r="AL558" s="145"/>
      <c r="AM558" s="145"/>
      <c r="AN558" s="145"/>
      <c r="AO558" s="145"/>
      <c r="AP558" s="145"/>
      <c r="AQ558" s="145"/>
    </row>
    <row r="559" spans="1:43">
      <c r="A559" s="145"/>
      <c r="B559" s="145"/>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c r="AA559" s="145"/>
      <c r="AB559" s="145"/>
      <c r="AC559" s="145"/>
      <c r="AD559" s="145"/>
      <c r="AE559" s="145"/>
      <c r="AF559" s="145"/>
      <c r="AG559" s="145"/>
      <c r="AH559" s="145"/>
      <c r="AI559" s="145"/>
      <c r="AJ559" s="145"/>
      <c r="AK559" s="145"/>
      <c r="AL559" s="145"/>
      <c r="AM559" s="145"/>
      <c r="AN559" s="145"/>
      <c r="AO559" s="145"/>
      <c r="AP559" s="145"/>
      <c r="AQ559" s="145"/>
    </row>
    <row r="560" spans="1:43">
      <c r="A560" s="145"/>
      <c r="B560" s="145"/>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c r="AA560" s="145"/>
      <c r="AB560" s="145"/>
      <c r="AC560" s="145"/>
      <c r="AD560" s="145"/>
      <c r="AE560" s="145"/>
      <c r="AF560" s="145"/>
      <c r="AG560" s="145"/>
      <c r="AH560" s="145"/>
      <c r="AI560" s="145"/>
      <c r="AJ560" s="145"/>
      <c r="AK560" s="145"/>
      <c r="AL560" s="145"/>
      <c r="AM560" s="145"/>
      <c r="AN560" s="145"/>
      <c r="AO560" s="145"/>
      <c r="AP560" s="145"/>
      <c r="AQ560" s="145"/>
    </row>
    <row r="561" spans="1:43">
      <c r="A561" s="145"/>
      <c r="B561" s="145"/>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c r="AA561" s="145"/>
      <c r="AB561" s="145"/>
      <c r="AC561" s="145"/>
      <c r="AD561" s="145"/>
      <c r="AE561" s="145"/>
      <c r="AF561" s="145"/>
      <c r="AG561" s="145"/>
      <c r="AH561" s="145"/>
      <c r="AI561" s="145"/>
      <c r="AJ561" s="145"/>
      <c r="AK561" s="145"/>
      <c r="AL561" s="145"/>
      <c r="AM561" s="145"/>
      <c r="AN561" s="145"/>
      <c r="AO561" s="145"/>
      <c r="AP561" s="145"/>
      <c r="AQ561" s="145"/>
    </row>
    <row r="562" spans="1:43">
      <c r="A562" s="145"/>
      <c r="B562" s="145"/>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c r="AA562" s="145"/>
      <c r="AB562" s="145"/>
      <c r="AC562" s="145"/>
      <c r="AD562" s="145"/>
      <c r="AE562" s="145"/>
      <c r="AF562" s="145"/>
      <c r="AG562" s="145"/>
      <c r="AH562" s="145"/>
      <c r="AI562" s="145"/>
      <c r="AJ562" s="145"/>
      <c r="AK562" s="145"/>
      <c r="AL562" s="145"/>
      <c r="AM562" s="145"/>
      <c r="AN562" s="145"/>
      <c r="AO562" s="145"/>
      <c r="AP562" s="145"/>
      <c r="AQ562" s="145"/>
    </row>
    <row r="563" spans="1:43">
      <c r="A563" s="145"/>
      <c r="B563" s="145"/>
      <c r="C563" s="145"/>
      <c r="D563" s="145"/>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c r="AA563" s="145"/>
      <c r="AB563" s="145"/>
      <c r="AC563" s="145"/>
      <c r="AD563" s="145"/>
      <c r="AE563" s="145"/>
      <c r="AF563" s="145"/>
      <c r="AG563" s="145"/>
      <c r="AH563" s="145"/>
      <c r="AI563" s="145"/>
      <c r="AJ563" s="145"/>
      <c r="AK563" s="145"/>
      <c r="AL563" s="145"/>
      <c r="AM563" s="145"/>
      <c r="AN563" s="145"/>
      <c r="AO563" s="145"/>
      <c r="AP563" s="145"/>
      <c r="AQ563" s="145"/>
    </row>
    <row r="564" spans="1:43">
      <c r="A564" s="145"/>
      <c r="B564" s="145"/>
      <c r="C564" s="145"/>
      <c r="D564" s="145"/>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c r="AA564" s="145"/>
      <c r="AB564" s="145"/>
      <c r="AC564" s="145"/>
      <c r="AD564" s="145"/>
      <c r="AE564" s="145"/>
      <c r="AF564" s="145"/>
      <c r="AG564" s="145"/>
      <c r="AH564" s="145"/>
      <c r="AI564" s="145"/>
      <c r="AJ564" s="145"/>
      <c r="AK564" s="145"/>
      <c r="AL564" s="145"/>
      <c r="AM564" s="145"/>
      <c r="AN564" s="145"/>
      <c r="AO564" s="145"/>
      <c r="AP564" s="145"/>
      <c r="AQ564" s="145"/>
    </row>
    <row r="565" spans="1:43">
      <c r="A565" s="145"/>
      <c r="B565" s="145"/>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c r="AA565" s="145"/>
      <c r="AB565" s="145"/>
      <c r="AC565" s="145"/>
      <c r="AD565" s="145"/>
      <c r="AE565" s="145"/>
      <c r="AF565" s="145"/>
      <c r="AG565" s="145"/>
      <c r="AH565" s="145"/>
      <c r="AI565" s="145"/>
      <c r="AJ565" s="145"/>
      <c r="AK565" s="145"/>
      <c r="AL565" s="145"/>
      <c r="AM565" s="145"/>
      <c r="AN565" s="145"/>
      <c r="AO565" s="145"/>
      <c r="AP565" s="145"/>
      <c r="AQ565" s="145"/>
    </row>
    <row r="566" spans="1:43">
      <c r="A566" s="145"/>
      <c r="B566" s="145"/>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c r="AA566" s="145"/>
      <c r="AB566" s="145"/>
      <c r="AC566" s="145"/>
      <c r="AD566" s="145"/>
      <c r="AE566" s="145"/>
      <c r="AF566" s="145"/>
      <c r="AG566" s="145"/>
      <c r="AH566" s="145"/>
      <c r="AI566" s="145"/>
      <c r="AJ566" s="145"/>
      <c r="AK566" s="145"/>
      <c r="AL566" s="145"/>
      <c r="AM566" s="145"/>
      <c r="AN566" s="145"/>
      <c r="AO566" s="145"/>
      <c r="AP566" s="145"/>
      <c r="AQ566" s="145"/>
    </row>
    <row r="567" spans="1:43">
      <c r="A567" s="145"/>
      <c r="B567" s="145"/>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c r="AA567" s="145"/>
      <c r="AB567" s="145"/>
      <c r="AC567" s="145"/>
      <c r="AD567" s="145"/>
      <c r="AE567" s="145"/>
      <c r="AF567" s="145"/>
      <c r="AG567" s="145"/>
      <c r="AH567" s="145"/>
      <c r="AI567" s="145"/>
      <c r="AJ567" s="145"/>
      <c r="AK567" s="145"/>
      <c r="AL567" s="145"/>
      <c r="AM567" s="145"/>
      <c r="AN567" s="145"/>
      <c r="AO567" s="145"/>
      <c r="AP567" s="145"/>
      <c r="AQ567" s="145"/>
    </row>
    <row r="568" spans="1:43">
      <c r="A568" s="145"/>
      <c r="B568" s="145"/>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c r="AA568" s="145"/>
      <c r="AB568" s="145"/>
      <c r="AC568" s="145"/>
      <c r="AD568" s="145"/>
      <c r="AE568" s="145"/>
      <c r="AF568" s="145"/>
      <c r="AG568" s="145"/>
      <c r="AH568" s="145"/>
      <c r="AI568" s="145"/>
      <c r="AJ568" s="145"/>
      <c r="AK568" s="145"/>
      <c r="AL568" s="145"/>
      <c r="AM568" s="145"/>
      <c r="AN568" s="145"/>
      <c r="AO568" s="145"/>
      <c r="AP568" s="145"/>
      <c r="AQ568" s="145"/>
    </row>
    <row r="569" spans="1:43">
      <c r="A569" s="145"/>
      <c r="B569" s="145"/>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c r="AA569" s="145"/>
      <c r="AB569" s="145"/>
      <c r="AC569" s="145"/>
      <c r="AD569" s="145"/>
      <c r="AE569" s="145"/>
      <c r="AF569" s="145"/>
      <c r="AG569" s="145"/>
      <c r="AH569" s="145"/>
      <c r="AI569" s="145"/>
      <c r="AJ569" s="145"/>
      <c r="AK569" s="145"/>
      <c r="AL569" s="145"/>
      <c r="AM569" s="145"/>
      <c r="AN569" s="145"/>
      <c r="AO569" s="145"/>
      <c r="AP569" s="145"/>
      <c r="AQ569" s="145"/>
    </row>
    <row r="570" spans="1:43">
      <c r="A570" s="145"/>
      <c r="B570" s="145"/>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c r="AA570" s="145"/>
      <c r="AB570" s="145"/>
      <c r="AC570" s="145"/>
      <c r="AD570" s="145"/>
      <c r="AE570" s="145"/>
      <c r="AF570" s="145"/>
      <c r="AG570" s="145"/>
      <c r="AH570" s="145"/>
      <c r="AI570" s="145"/>
      <c r="AJ570" s="145"/>
      <c r="AK570" s="145"/>
      <c r="AL570" s="145"/>
      <c r="AM570" s="145"/>
      <c r="AN570" s="145"/>
      <c r="AO570" s="145"/>
      <c r="AP570" s="145"/>
      <c r="AQ570" s="145"/>
    </row>
    <row r="571" spans="1:43">
      <c r="A571" s="145"/>
      <c r="B571" s="145"/>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c r="AA571" s="145"/>
      <c r="AB571" s="145"/>
      <c r="AC571" s="145"/>
      <c r="AD571" s="145"/>
      <c r="AE571" s="145"/>
      <c r="AF571" s="145"/>
      <c r="AG571" s="145"/>
      <c r="AH571" s="145"/>
      <c r="AI571" s="145"/>
      <c r="AJ571" s="145"/>
      <c r="AK571" s="145"/>
      <c r="AL571" s="145"/>
      <c r="AM571" s="145"/>
      <c r="AN571" s="145"/>
      <c r="AO571" s="145"/>
      <c r="AP571" s="145"/>
      <c r="AQ571" s="145"/>
    </row>
    <row r="572" spans="1:43">
      <c r="A572" s="145"/>
      <c r="B572" s="145"/>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c r="AA572" s="145"/>
      <c r="AB572" s="145"/>
      <c r="AC572" s="145"/>
      <c r="AD572" s="145"/>
      <c r="AE572" s="145"/>
      <c r="AF572" s="145"/>
      <c r="AG572" s="145"/>
      <c r="AH572" s="145"/>
      <c r="AI572" s="145"/>
      <c r="AJ572" s="145"/>
      <c r="AK572" s="145"/>
      <c r="AL572" s="145"/>
      <c r="AM572" s="145"/>
      <c r="AN572" s="145"/>
      <c r="AO572" s="145"/>
      <c r="AP572" s="145"/>
      <c r="AQ572" s="145"/>
    </row>
    <row r="573" spans="1:43">
      <c r="A573" s="145"/>
      <c r="B573" s="145"/>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c r="AA573" s="145"/>
      <c r="AB573" s="145"/>
      <c r="AC573" s="145"/>
      <c r="AD573" s="145"/>
      <c r="AE573" s="145"/>
      <c r="AF573" s="145"/>
      <c r="AG573" s="145"/>
      <c r="AH573" s="145"/>
      <c r="AI573" s="145"/>
      <c r="AJ573" s="145"/>
      <c r="AK573" s="145"/>
      <c r="AL573" s="145"/>
      <c r="AM573" s="145"/>
      <c r="AN573" s="145"/>
      <c r="AO573" s="145"/>
      <c r="AP573" s="145"/>
      <c r="AQ573" s="145"/>
    </row>
    <row r="574" spans="1:43">
      <c r="A574" s="145"/>
      <c r="B574" s="145"/>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c r="AA574" s="145"/>
      <c r="AB574" s="145"/>
      <c r="AC574" s="145"/>
      <c r="AD574" s="145"/>
      <c r="AE574" s="145"/>
      <c r="AF574" s="145"/>
      <c r="AG574" s="145"/>
      <c r="AH574" s="145"/>
      <c r="AI574" s="145"/>
      <c r="AJ574" s="145"/>
      <c r="AK574" s="145"/>
      <c r="AL574" s="145"/>
      <c r="AM574" s="145"/>
      <c r="AN574" s="145"/>
      <c r="AO574" s="145"/>
      <c r="AP574" s="145"/>
      <c r="AQ574" s="145"/>
    </row>
    <row r="575" spans="1:43">
      <c r="A575" s="145"/>
      <c r="B575" s="145"/>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c r="AA575" s="145"/>
      <c r="AB575" s="145"/>
      <c r="AC575" s="145"/>
      <c r="AD575" s="145"/>
      <c r="AE575" s="145"/>
      <c r="AF575" s="145"/>
      <c r="AG575" s="145"/>
      <c r="AH575" s="145"/>
      <c r="AI575" s="145"/>
      <c r="AJ575" s="145"/>
      <c r="AK575" s="145"/>
      <c r="AL575" s="145"/>
      <c r="AM575" s="145"/>
      <c r="AN575" s="145"/>
      <c r="AO575" s="145"/>
      <c r="AP575" s="145"/>
      <c r="AQ575" s="145"/>
    </row>
    <row r="576" spans="1:43">
      <c r="A576" s="145"/>
      <c r="B576" s="145"/>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c r="AA576" s="145"/>
      <c r="AB576" s="145"/>
      <c r="AC576" s="145"/>
      <c r="AD576" s="145"/>
      <c r="AE576" s="145"/>
      <c r="AF576" s="145"/>
      <c r="AG576" s="145"/>
      <c r="AH576" s="145"/>
      <c r="AI576" s="145"/>
      <c r="AJ576" s="145"/>
      <c r="AK576" s="145"/>
      <c r="AL576" s="145"/>
      <c r="AM576" s="145"/>
      <c r="AN576" s="145"/>
      <c r="AO576" s="145"/>
      <c r="AP576" s="145"/>
      <c r="AQ576" s="145"/>
    </row>
    <row r="577" spans="1:43">
      <c r="A577" s="145"/>
      <c r="B577" s="145"/>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c r="AA577" s="145"/>
      <c r="AB577" s="145"/>
      <c r="AC577" s="145"/>
      <c r="AD577" s="145"/>
      <c r="AE577" s="145"/>
      <c r="AF577" s="145"/>
      <c r="AG577" s="145"/>
      <c r="AH577" s="145"/>
      <c r="AI577" s="145"/>
      <c r="AJ577" s="145"/>
      <c r="AK577" s="145"/>
      <c r="AL577" s="145"/>
      <c r="AM577" s="145"/>
      <c r="AN577" s="145"/>
      <c r="AO577" s="145"/>
      <c r="AP577" s="145"/>
      <c r="AQ577" s="145"/>
    </row>
    <row r="578" spans="1:43">
      <c r="A578" s="145"/>
      <c r="B578" s="145"/>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c r="AA578" s="145"/>
      <c r="AB578" s="145"/>
      <c r="AC578" s="145"/>
      <c r="AD578" s="145"/>
      <c r="AE578" s="145"/>
      <c r="AF578" s="145"/>
      <c r="AG578" s="145"/>
      <c r="AH578" s="145"/>
      <c r="AI578" s="145"/>
      <c r="AJ578" s="145"/>
      <c r="AK578" s="145"/>
      <c r="AL578" s="145"/>
      <c r="AM578" s="145"/>
      <c r="AN578" s="145"/>
      <c r="AO578" s="145"/>
      <c r="AP578" s="145"/>
      <c r="AQ578" s="145"/>
    </row>
    <row r="579" spans="1:43">
      <c r="A579" s="145"/>
      <c r="B579" s="145"/>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c r="AA579" s="145"/>
      <c r="AB579" s="145"/>
      <c r="AC579" s="145"/>
      <c r="AD579" s="145"/>
      <c r="AE579" s="145"/>
      <c r="AF579" s="145"/>
      <c r="AG579" s="145"/>
      <c r="AH579" s="145"/>
      <c r="AI579" s="145"/>
      <c r="AJ579" s="145"/>
      <c r="AK579" s="145"/>
      <c r="AL579" s="145"/>
      <c r="AM579" s="145"/>
      <c r="AN579" s="145"/>
      <c r="AO579" s="145"/>
      <c r="AP579" s="145"/>
      <c r="AQ579" s="145"/>
    </row>
    <row r="580" spans="1:43">
      <c r="A580" s="145"/>
      <c r="B580" s="145"/>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c r="AA580" s="145"/>
      <c r="AB580" s="145"/>
      <c r="AC580" s="145"/>
      <c r="AD580" s="145"/>
      <c r="AE580" s="145"/>
      <c r="AF580" s="145"/>
      <c r="AG580" s="145"/>
      <c r="AH580" s="145"/>
      <c r="AI580" s="145"/>
      <c r="AJ580" s="145"/>
      <c r="AK580" s="145"/>
      <c r="AL580" s="145"/>
      <c r="AM580" s="145"/>
      <c r="AN580" s="145"/>
      <c r="AO580" s="145"/>
      <c r="AP580" s="145"/>
      <c r="AQ580" s="145"/>
    </row>
    <row r="581" spans="1:43">
      <c r="A581" s="145"/>
      <c r="B581" s="145"/>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c r="AA581" s="145"/>
      <c r="AB581" s="145"/>
      <c r="AC581" s="145"/>
      <c r="AD581" s="145"/>
      <c r="AE581" s="145"/>
      <c r="AF581" s="145"/>
      <c r="AG581" s="145"/>
      <c r="AH581" s="145"/>
      <c r="AI581" s="145"/>
      <c r="AJ581" s="145"/>
      <c r="AK581" s="145"/>
      <c r="AL581" s="145"/>
      <c r="AM581" s="145"/>
      <c r="AN581" s="145"/>
      <c r="AO581" s="145"/>
      <c r="AP581" s="145"/>
      <c r="AQ581" s="145"/>
    </row>
    <row r="582" spans="1:43">
      <c r="A582" s="145"/>
      <c r="B582" s="145"/>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c r="AA582" s="145"/>
      <c r="AB582" s="145"/>
      <c r="AC582" s="145"/>
      <c r="AD582" s="145"/>
      <c r="AE582" s="145"/>
      <c r="AF582" s="145"/>
      <c r="AG582" s="145"/>
      <c r="AH582" s="145"/>
      <c r="AI582" s="145"/>
      <c r="AJ582" s="145"/>
      <c r="AK582" s="145"/>
      <c r="AL582" s="145"/>
      <c r="AM582" s="145"/>
      <c r="AN582" s="145"/>
      <c r="AO582" s="145"/>
      <c r="AP582" s="145"/>
      <c r="AQ582" s="145"/>
    </row>
    <row r="583" spans="1:43">
      <c r="A583" s="145"/>
      <c r="B583" s="145"/>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c r="AA583" s="145"/>
      <c r="AB583" s="145"/>
      <c r="AC583" s="145"/>
      <c r="AD583" s="145"/>
      <c r="AE583" s="145"/>
      <c r="AF583" s="145"/>
      <c r="AG583" s="145"/>
      <c r="AH583" s="145"/>
      <c r="AI583" s="145"/>
      <c r="AJ583" s="145"/>
      <c r="AK583" s="145"/>
      <c r="AL583" s="145"/>
      <c r="AM583" s="145"/>
      <c r="AN583" s="145"/>
      <c r="AO583" s="145"/>
      <c r="AP583" s="145"/>
      <c r="AQ583" s="145"/>
    </row>
    <row r="584" spans="1:43">
      <c r="A584" s="145"/>
      <c r="B584" s="145"/>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c r="AA584" s="145"/>
      <c r="AB584" s="145"/>
      <c r="AC584" s="145"/>
      <c r="AD584" s="145"/>
      <c r="AE584" s="145"/>
      <c r="AF584" s="145"/>
      <c r="AG584" s="145"/>
      <c r="AH584" s="145"/>
      <c r="AI584" s="145"/>
      <c r="AJ584" s="145"/>
      <c r="AK584" s="145"/>
      <c r="AL584" s="145"/>
      <c r="AM584" s="145"/>
      <c r="AN584" s="145"/>
      <c r="AO584" s="145"/>
      <c r="AP584" s="145"/>
      <c r="AQ584" s="145"/>
    </row>
    <row r="585" spans="1:43">
      <c r="A585" s="145"/>
      <c r="B585" s="145"/>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c r="AA585" s="145"/>
      <c r="AB585" s="145"/>
      <c r="AC585" s="145"/>
      <c r="AD585" s="145"/>
      <c r="AE585" s="145"/>
      <c r="AF585" s="145"/>
      <c r="AG585" s="145"/>
      <c r="AH585" s="145"/>
      <c r="AI585" s="145"/>
      <c r="AJ585" s="145"/>
      <c r="AK585" s="145"/>
      <c r="AL585" s="145"/>
      <c r="AM585" s="145"/>
      <c r="AN585" s="145"/>
      <c r="AO585" s="145"/>
      <c r="AP585" s="145"/>
      <c r="AQ585" s="145"/>
    </row>
    <row r="586" spans="1:43">
      <c r="A586" s="145"/>
      <c r="B586" s="145"/>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c r="AA586" s="145"/>
      <c r="AB586" s="145"/>
      <c r="AC586" s="145"/>
      <c r="AD586" s="145"/>
      <c r="AE586" s="145"/>
      <c r="AF586" s="145"/>
      <c r="AG586" s="145"/>
      <c r="AH586" s="145"/>
      <c r="AI586" s="145"/>
      <c r="AJ586" s="145"/>
      <c r="AK586" s="145"/>
      <c r="AL586" s="145"/>
      <c r="AM586" s="145"/>
      <c r="AN586" s="145"/>
      <c r="AO586" s="145"/>
      <c r="AP586" s="145"/>
      <c r="AQ586" s="145"/>
    </row>
    <row r="587" spans="1:43">
      <c r="A587" s="145"/>
      <c r="B587" s="145"/>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c r="AA587" s="145"/>
      <c r="AB587" s="145"/>
      <c r="AC587" s="145"/>
      <c r="AD587" s="145"/>
      <c r="AE587" s="145"/>
      <c r="AF587" s="145"/>
      <c r="AG587" s="145"/>
      <c r="AH587" s="145"/>
      <c r="AI587" s="145"/>
      <c r="AJ587" s="145"/>
      <c r="AK587" s="145"/>
      <c r="AL587" s="145"/>
      <c r="AM587" s="145"/>
      <c r="AN587" s="145"/>
      <c r="AO587" s="145"/>
      <c r="AP587" s="145"/>
      <c r="AQ587" s="145"/>
    </row>
    <row r="588" spans="1:43">
      <c r="A588" s="145"/>
      <c r="B588" s="145"/>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c r="AA588" s="145"/>
      <c r="AB588" s="145"/>
      <c r="AC588" s="145"/>
      <c r="AD588" s="145"/>
      <c r="AE588" s="145"/>
      <c r="AF588" s="145"/>
      <c r="AG588" s="145"/>
      <c r="AH588" s="145"/>
      <c r="AI588" s="145"/>
      <c r="AJ588" s="145"/>
      <c r="AK588" s="145"/>
      <c r="AL588" s="145"/>
      <c r="AM588" s="145"/>
      <c r="AN588" s="145"/>
      <c r="AO588" s="145"/>
      <c r="AP588" s="145"/>
      <c r="AQ588" s="145"/>
    </row>
    <row r="589" spans="1:43">
      <c r="A589" s="145"/>
      <c r="B589" s="145"/>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row>
    <row r="590" spans="1:43">
      <c r="A590" s="145"/>
      <c r="B590" s="145"/>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row>
    <row r="591" spans="1:43">
      <c r="A591" s="145"/>
      <c r="B591" s="145"/>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row>
    <row r="592" spans="1:43">
      <c r="A592" s="145"/>
      <c r="B592" s="145"/>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c r="AA592" s="145"/>
      <c r="AB592" s="145"/>
      <c r="AC592" s="145"/>
      <c r="AD592" s="145"/>
      <c r="AE592" s="145"/>
      <c r="AF592" s="145"/>
      <c r="AG592" s="145"/>
      <c r="AH592" s="145"/>
      <c r="AI592" s="145"/>
      <c r="AJ592" s="145"/>
      <c r="AK592" s="145"/>
      <c r="AL592" s="145"/>
      <c r="AM592" s="145"/>
      <c r="AN592" s="145"/>
      <c r="AO592" s="145"/>
      <c r="AP592" s="145"/>
      <c r="AQ592" s="145"/>
    </row>
    <row r="593" spans="1:43">
      <c r="A593" s="145"/>
      <c r="B593" s="145"/>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c r="AA593" s="145"/>
      <c r="AB593" s="145"/>
      <c r="AC593" s="145"/>
      <c r="AD593" s="145"/>
      <c r="AE593" s="145"/>
      <c r="AF593" s="145"/>
      <c r="AG593" s="145"/>
      <c r="AH593" s="145"/>
      <c r="AI593" s="145"/>
      <c r="AJ593" s="145"/>
      <c r="AK593" s="145"/>
      <c r="AL593" s="145"/>
      <c r="AM593" s="145"/>
      <c r="AN593" s="145"/>
      <c r="AO593" s="145"/>
      <c r="AP593" s="145"/>
      <c r="AQ593" s="145"/>
    </row>
    <row r="594" spans="1:43">
      <c r="A594" s="145"/>
      <c r="B594" s="145"/>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c r="AA594" s="145"/>
      <c r="AB594" s="145"/>
      <c r="AC594" s="145"/>
      <c r="AD594" s="145"/>
      <c r="AE594" s="145"/>
      <c r="AF594" s="145"/>
      <c r="AG594" s="145"/>
      <c r="AH594" s="145"/>
      <c r="AI594" s="145"/>
      <c r="AJ594" s="145"/>
      <c r="AK594" s="145"/>
      <c r="AL594" s="145"/>
      <c r="AM594" s="145"/>
      <c r="AN594" s="145"/>
      <c r="AO594" s="145"/>
      <c r="AP594" s="145"/>
      <c r="AQ594" s="145"/>
    </row>
    <row r="595" spans="1:43">
      <c r="A595" s="145"/>
      <c r="B595" s="145"/>
      <c r="C595" s="145"/>
      <c r="D595" s="145"/>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c r="AA595" s="145"/>
      <c r="AB595" s="145"/>
      <c r="AC595" s="145"/>
      <c r="AD595" s="145"/>
      <c r="AE595" s="145"/>
      <c r="AF595" s="145"/>
      <c r="AG595" s="145"/>
      <c r="AH595" s="145"/>
      <c r="AI595" s="145"/>
      <c r="AJ595" s="145"/>
      <c r="AK595" s="145"/>
      <c r="AL595" s="145"/>
      <c r="AM595" s="145"/>
      <c r="AN595" s="145"/>
      <c r="AO595" s="145"/>
      <c r="AP595" s="145"/>
      <c r="AQ595" s="145"/>
    </row>
    <row r="596" spans="1:43">
      <c r="A596" s="145"/>
      <c r="B596" s="145"/>
      <c r="C596" s="145"/>
      <c r="D596" s="145"/>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c r="AA596" s="145"/>
      <c r="AB596" s="145"/>
      <c r="AC596" s="145"/>
      <c r="AD596" s="145"/>
      <c r="AE596" s="145"/>
      <c r="AF596" s="145"/>
      <c r="AG596" s="145"/>
      <c r="AH596" s="145"/>
      <c r="AI596" s="145"/>
      <c r="AJ596" s="145"/>
      <c r="AK596" s="145"/>
      <c r="AL596" s="145"/>
      <c r="AM596" s="145"/>
      <c r="AN596" s="145"/>
      <c r="AO596" s="145"/>
      <c r="AP596" s="145"/>
      <c r="AQ596" s="145"/>
    </row>
    <row r="597" spans="1:43">
      <c r="A597" s="145"/>
      <c r="B597" s="145"/>
      <c r="C597" s="145"/>
      <c r="D597" s="145"/>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c r="AA597" s="145"/>
      <c r="AB597" s="145"/>
      <c r="AC597" s="145"/>
      <c r="AD597" s="145"/>
      <c r="AE597" s="145"/>
      <c r="AF597" s="145"/>
      <c r="AG597" s="145"/>
      <c r="AH597" s="145"/>
      <c r="AI597" s="145"/>
      <c r="AJ597" s="145"/>
      <c r="AK597" s="145"/>
      <c r="AL597" s="145"/>
      <c r="AM597" s="145"/>
      <c r="AN597" s="145"/>
      <c r="AO597" s="145"/>
      <c r="AP597" s="145"/>
      <c r="AQ597" s="145"/>
    </row>
    <row r="598" spans="1:43">
      <c r="A598" s="145"/>
      <c r="B598" s="145"/>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c r="AA598" s="145"/>
      <c r="AB598" s="145"/>
      <c r="AC598" s="145"/>
      <c r="AD598" s="145"/>
      <c r="AE598" s="145"/>
      <c r="AF598" s="145"/>
      <c r="AG598" s="145"/>
      <c r="AH598" s="145"/>
      <c r="AI598" s="145"/>
      <c r="AJ598" s="145"/>
      <c r="AK598" s="145"/>
      <c r="AL598" s="145"/>
      <c r="AM598" s="145"/>
      <c r="AN598" s="145"/>
      <c r="AO598" s="145"/>
      <c r="AP598" s="145"/>
      <c r="AQ598" s="145"/>
    </row>
    <row r="599" spans="1:43">
      <c r="A599" s="145"/>
      <c r="B599" s="145"/>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c r="AA599" s="145"/>
      <c r="AB599" s="145"/>
      <c r="AC599" s="145"/>
      <c r="AD599" s="145"/>
      <c r="AE599" s="145"/>
      <c r="AF599" s="145"/>
      <c r="AG599" s="145"/>
      <c r="AH599" s="145"/>
      <c r="AI599" s="145"/>
      <c r="AJ599" s="145"/>
      <c r="AK599" s="145"/>
      <c r="AL599" s="145"/>
      <c r="AM599" s="145"/>
      <c r="AN599" s="145"/>
      <c r="AO599" s="145"/>
      <c r="AP599" s="145"/>
      <c r="AQ599" s="145"/>
    </row>
    <row r="600" spans="1:43">
      <c r="A600" s="145"/>
      <c r="B600" s="145"/>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c r="AA600" s="145"/>
      <c r="AB600" s="145"/>
      <c r="AC600" s="145"/>
      <c r="AD600" s="145"/>
      <c r="AE600" s="145"/>
      <c r="AF600" s="145"/>
      <c r="AG600" s="145"/>
      <c r="AH600" s="145"/>
      <c r="AI600" s="145"/>
      <c r="AJ600" s="145"/>
      <c r="AK600" s="145"/>
      <c r="AL600" s="145"/>
      <c r="AM600" s="145"/>
      <c r="AN600" s="145"/>
      <c r="AO600" s="145"/>
      <c r="AP600" s="145"/>
      <c r="AQ600" s="145"/>
    </row>
    <row r="601" spans="1:43">
      <c r="A601" s="145"/>
      <c r="B601" s="145"/>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c r="AA601" s="145"/>
      <c r="AB601" s="145"/>
      <c r="AC601" s="145"/>
      <c r="AD601" s="145"/>
      <c r="AE601" s="145"/>
      <c r="AF601" s="145"/>
      <c r="AG601" s="145"/>
      <c r="AH601" s="145"/>
      <c r="AI601" s="145"/>
      <c r="AJ601" s="145"/>
      <c r="AK601" s="145"/>
      <c r="AL601" s="145"/>
      <c r="AM601" s="145"/>
      <c r="AN601" s="145"/>
      <c r="AO601" s="145"/>
      <c r="AP601" s="145"/>
      <c r="AQ601" s="145"/>
    </row>
    <row r="602" spans="1:43">
      <c r="A602" s="145"/>
      <c r="B602" s="145"/>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c r="AA602" s="145"/>
      <c r="AB602" s="145"/>
      <c r="AC602" s="145"/>
      <c r="AD602" s="145"/>
      <c r="AE602" s="145"/>
      <c r="AF602" s="145"/>
      <c r="AG602" s="145"/>
      <c r="AH602" s="145"/>
      <c r="AI602" s="145"/>
      <c r="AJ602" s="145"/>
      <c r="AK602" s="145"/>
      <c r="AL602" s="145"/>
      <c r="AM602" s="145"/>
      <c r="AN602" s="145"/>
      <c r="AO602" s="145"/>
      <c r="AP602" s="145"/>
      <c r="AQ602" s="145"/>
    </row>
    <row r="603" spans="1:43">
      <c r="A603" s="145"/>
      <c r="B603" s="145"/>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c r="AA603" s="145"/>
      <c r="AB603" s="145"/>
      <c r="AC603" s="145"/>
      <c r="AD603" s="145"/>
      <c r="AE603" s="145"/>
      <c r="AF603" s="145"/>
      <c r="AG603" s="145"/>
      <c r="AH603" s="145"/>
      <c r="AI603" s="145"/>
      <c r="AJ603" s="145"/>
      <c r="AK603" s="145"/>
      <c r="AL603" s="145"/>
      <c r="AM603" s="145"/>
      <c r="AN603" s="145"/>
      <c r="AO603" s="145"/>
      <c r="AP603" s="145"/>
      <c r="AQ603" s="145"/>
    </row>
    <row r="604" spans="1:43">
      <c r="A604" s="145"/>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c r="AA604" s="145"/>
      <c r="AB604" s="145"/>
      <c r="AC604" s="145"/>
      <c r="AD604" s="145"/>
      <c r="AE604" s="145"/>
      <c r="AF604" s="145"/>
      <c r="AG604" s="145"/>
      <c r="AH604" s="145"/>
      <c r="AI604" s="145"/>
      <c r="AJ604" s="145"/>
      <c r="AK604" s="145"/>
      <c r="AL604" s="145"/>
      <c r="AM604" s="145"/>
      <c r="AN604" s="145"/>
      <c r="AO604" s="145"/>
      <c r="AP604" s="145"/>
      <c r="AQ604" s="145"/>
    </row>
    <row r="605" spans="1:43">
      <c r="A605" s="145"/>
      <c r="B605" s="145"/>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c r="AA605" s="145"/>
      <c r="AB605" s="145"/>
      <c r="AC605" s="145"/>
      <c r="AD605" s="145"/>
      <c r="AE605" s="145"/>
      <c r="AF605" s="145"/>
      <c r="AG605" s="145"/>
      <c r="AH605" s="145"/>
      <c r="AI605" s="145"/>
      <c r="AJ605" s="145"/>
      <c r="AK605" s="145"/>
      <c r="AL605" s="145"/>
      <c r="AM605" s="145"/>
      <c r="AN605" s="145"/>
      <c r="AO605" s="145"/>
      <c r="AP605" s="145"/>
      <c r="AQ605" s="145"/>
    </row>
    <row r="606" spans="1:43">
      <c r="A606" s="145"/>
      <c r="B606" s="145"/>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c r="AA606" s="145"/>
      <c r="AB606" s="145"/>
      <c r="AC606" s="145"/>
      <c r="AD606" s="145"/>
      <c r="AE606" s="145"/>
      <c r="AF606" s="145"/>
      <c r="AG606" s="145"/>
      <c r="AH606" s="145"/>
      <c r="AI606" s="145"/>
      <c r="AJ606" s="145"/>
      <c r="AK606" s="145"/>
      <c r="AL606" s="145"/>
      <c r="AM606" s="145"/>
      <c r="AN606" s="145"/>
      <c r="AO606" s="145"/>
      <c r="AP606" s="145"/>
      <c r="AQ606" s="145"/>
    </row>
    <row r="607" spans="1:43">
      <c r="A607" s="145"/>
      <c r="B607" s="145"/>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c r="AA607" s="145"/>
      <c r="AB607" s="145"/>
      <c r="AC607" s="145"/>
      <c r="AD607" s="145"/>
      <c r="AE607" s="145"/>
      <c r="AF607" s="145"/>
      <c r="AG607" s="145"/>
      <c r="AH607" s="145"/>
      <c r="AI607" s="145"/>
      <c r="AJ607" s="145"/>
      <c r="AK607" s="145"/>
      <c r="AL607" s="145"/>
      <c r="AM607" s="145"/>
      <c r="AN607" s="145"/>
      <c r="AO607" s="145"/>
      <c r="AP607" s="145"/>
      <c r="AQ607" s="145"/>
    </row>
    <row r="608" spans="1:43">
      <c r="A608" s="145"/>
      <c r="B608" s="145"/>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c r="AA608" s="145"/>
      <c r="AB608" s="145"/>
      <c r="AC608" s="145"/>
      <c r="AD608" s="145"/>
      <c r="AE608" s="145"/>
      <c r="AF608" s="145"/>
      <c r="AG608" s="145"/>
      <c r="AH608" s="145"/>
      <c r="AI608" s="145"/>
      <c r="AJ608" s="145"/>
      <c r="AK608" s="145"/>
      <c r="AL608" s="145"/>
      <c r="AM608" s="145"/>
      <c r="AN608" s="145"/>
      <c r="AO608" s="145"/>
      <c r="AP608" s="145"/>
      <c r="AQ608" s="145"/>
    </row>
    <row r="609" spans="1:43">
      <c r="A609" s="145"/>
      <c r="B609" s="145"/>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c r="AA609" s="145"/>
      <c r="AB609" s="145"/>
      <c r="AC609" s="145"/>
      <c r="AD609" s="145"/>
      <c r="AE609" s="145"/>
      <c r="AF609" s="145"/>
      <c r="AG609" s="145"/>
      <c r="AH609" s="145"/>
      <c r="AI609" s="145"/>
      <c r="AJ609" s="145"/>
      <c r="AK609" s="145"/>
      <c r="AL609" s="145"/>
      <c r="AM609" s="145"/>
      <c r="AN609" s="145"/>
      <c r="AO609" s="145"/>
      <c r="AP609" s="145"/>
      <c r="AQ609" s="145"/>
    </row>
    <row r="610" spans="1:43">
      <c r="A610" s="145"/>
      <c r="B610" s="145"/>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c r="AA610" s="145"/>
      <c r="AB610" s="145"/>
      <c r="AC610" s="145"/>
      <c r="AD610" s="145"/>
      <c r="AE610" s="145"/>
      <c r="AF610" s="145"/>
      <c r="AG610" s="145"/>
      <c r="AH610" s="145"/>
      <c r="AI610" s="145"/>
      <c r="AJ610" s="145"/>
      <c r="AK610" s="145"/>
      <c r="AL610" s="145"/>
      <c r="AM610" s="145"/>
      <c r="AN610" s="145"/>
      <c r="AO610" s="145"/>
      <c r="AP610" s="145"/>
      <c r="AQ610" s="145"/>
    </row>
    <row r="611" spans="1:43">
      <c r="A611" s="145"/>
      <c r="B611" s="145"/>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c r="AA611" s="145"/>
      <c r="AB611" s="145"/>
      <c r="AC611" s="145"/>
      <c r="AD611" s="145"/>
      <c r="AE611" s="145"/>
      <c r="AF611" s="145"/>
      <c r="AG611" s="145"/>
      <c r="AH611" s="145"/>
      <c r="AI611" s="145"/>
      <c r="AJ611" s="145"/>
      <c r="AK611" s="145"/>
      <c r="AL611" s="145"/>
      <c r="AM611" s="145"/>
      <c r="AN611" s="145"/>
      <c r="AO611" s="145"/>
      <c r="AP611" s="145"/>
      <c r="AQ611" s="145"/>
    </row>
    <row r="612" spans="1:43">
      <c r="A612" s="145"/>
      <c r="B612" s="145"/>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c r="AA612" s="145"/>
      <c r="AB612" s="145"/>
      <c r="AC612" s="145"/>
      <c r="AD612" s="145"/>
      <c r="AE612" s="145"/>
      <c r="AF612" s="145"/>
      <c r="AG612" s="145"/>
      <c r="AH612" s="145"/>
      <c r="AI612" s="145"/>
      <c r="AJ612" s="145"/>
      <c r="AK612" s="145"/>
      <c r="AL612" s="145"/>
      <c r="AM612" s="145"/>
      <c r="AN612" s="145"/>
      <c r="AO612" s="145"/>
      <c r="AP612" s="145"/>
      <c r="AQ612" s="145"/>
    </row>
    <row r="613" spans="1:43">
      <c r="A613" s="145"/>
      <c r="B613" s="145"/>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c r="AA613" s="145"/>
      <c r="AB613" s="145"/>
      <c r="AC613" s="145"/>
      <c r="AD613" s="145"/>
      <c r="AE613" s="145"/>
      <c r="AF613" s="145"/>
      <c r="AG613" s="145"/>
      <c r="AH613" s="145"/>
      <c r="AI613" s="145"/>
      <c r="AJ613" s="145"/>
      <c r="AK613" s="145"/>
      <c r="AL613" s="145"/>
      <c r="AM613" s="145"/>
      <c r="AN613" s="145"/>
      <c r="AO613" s="145"/>
      <c r="AP613" s="145"/>
      <c r="AQ613" s="145"/>
    </row>
    <row r="614" spans="1:43">
      <c r="A614" s="145"/>
      <c r="B614" s="145"/>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c r="AA614" s="145"/>
      <c r="AB614" s="145"/>
      <c r="AC614" s="145"/>
      <c r="AD614" s="145"/>
      <c r="AE614" s="145"/>
      <c r="AF614" s="145"/>
      <c r="AG614" s="145"/>
      <c r="AH614" s="145"/>
      <c r="AI614" s="145"/>
      <c r="AJ614" s="145"/>
      <c r="AK614" s="145"/>
      <c r="AL614" s="145"/>
      <c r="AM614" s="145"/>
      <c r="AN614" s="145"/>
      <c r="AO614" s="145"/>
      <c r="AP614" s="145"/>
      <c r="AQ614" s="145"/>
    </row>
    <row r="615" spans="1:43">
      <c r="A615" s="145"/>
      <c r="B615" s="145"/>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c r="AA615" s="145"/>
      <c r="AB615" s="145"/>
      <c r="AC615" s="145"/>
      <c r="AD615" s="145"/>
      <c r="AE615" s="145"/>
      <c r="AF615" s="145"/>
      <c r="AG615" s="145"/>
      <c r="AH615" s="145"/>
      <c r="AI615" s="145"/>
      <c r="AJ615" s="145"/>
      <c r="AK615" s="145"/>
      <c r="AL615" s="145"/>
      <c r="AM615" s="145"/>
      <c r="AN615" s="145"/>
      <c r="AO615" s="145"/>
      <c r="AP615" s="145"/>
      <c r="AQ615" s="145"/>
    </row>
    <row r="616" spans="1:43">
      <c r="A616" s="145"/>
      <c r="B616" s="145"/>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c r="AA616" s="145"/>
      <c r="AB616" s="145"/>
      <c r="AC616" s="145"/>
      <c r="AD616" s="145"/>
      <c r="AE616" s="145"/>
      <c r="AF616" s="145"/>
      <c r="AG616" s="145"/>
      <c r="AH616" s="145"/>
      <c r="AI616" s="145"/>
      <c r="AJ616" s="145"/>
      <c r="AK616" s="145"/>
      <c r="AL616" s="145"/>
      <c r="AM616" s="145"/>
      <c r="AN616" s="145"/>
      <c r="AO616" s="145"/>
      <c r="AP616" s="145"/>
      <c r="AQ616" s="145"/>
    </row>
    <row r="617" spans="1:43">
      <c r="A617" s="145"/>
      <c r="B617" s="145"/>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c r="AA617" s="145"/>
      <c r="AB617" s="145"/>
      <c r="AC617" s="145"/>
      <c r="AD617" s="145"/>
      <c r="AE617" s="145"/>
      <c r="AF617" s="145"/>
      <c r="AG617" s="145"/>
      <c r="AH617" s="145"/>
      <c r="AI617" s="145"/>
      <c r="AJ617" s="145"/>
      <c r="AK617" s="145"/>
      <c r="AL617" s="145"/>
      <c r="AM617" s="145"/>
      <c r="AN617" s="145"/>
      <c r="AO617" s="145"/>
      <c r="AP617" s="145"/>
      <c r="AQ617" s="145"/>
    </row>
    <row r="618" spans="1:43">
      <c r="A618" s="145"/>
      <c r="B618" s="145"/>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c r="AA618" s="145"/>
      <c r="AB618" s="145"/>
      <c r="AC618" s="145"/>
      <c r="AD618" s="145"/>
      <c r="AE618" s="145"/>
      <c r="AF618" s="145"/>
      <c r="AG618" s="145"/>
      <c r="AH618" s="145"/>
      <c r="AI618" s="145"/>
      <c r="AJ618" s="145"/>
      <c r="AK618" s="145"/>
      <c r="AL618" s="145"/>
      <c r="AM618" s="145"/>
      <c r="AN618" s="145"/>
      <c r="AO618" s="145"/>
      <c r="AP618" s="145"/>
      <c r="AQ618" s="145"/>
    </row>
    <row r="619" spans="1:43">
      <c r="A619" s="145"/>
      <c r="B619" s="145"/>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c r="AA619" s="145"/>
      <c r="AB619" s="145"/>
      <c r="AC619" s="145"/>
      <c r="AD619" s="145"/>
      <c r="AE619" s="145"/>
      <c r="AF619" s="145"/>
      <c r="AG619" s="145"/>
      <c r="AH619" s="145"/>
      <c r="AI619" s="145"/>
      <c r="AJ619" s="145"/>
      <c r="AK619" s="145"/>
      <c r="AL619" s="145"/>
      <c r="AM619" s="145"/>
      <c r="AN619" s="145"/>
      <c r="AO619" s="145"/>
      <c r="AP619" s="145"/>
      <c r="AQ619" s="145"/>
    </row>
    <row r="620" spans="1:43">
      <c r="A620" s="145"/>
      <c r="B620" s="145"/>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c r="AA620" s="145"/>
      <c r="AB620" s="145"/>
      <c r="AC620" s="145"/>
      <c r="AD620" s="145"/>
      <c r="AE620" s="145"/>
      <c r="AF620" s="145"/>
      <c r="AG620" s="145"/>
      <c r="AH620" s="145"/>
      <c r="AI620" s="145"/>
      <c r="AJ620" s="145"/>
      <c r="AK620" s="145"/>
      <c r="AL620" s="145"/>
      <c r="AM620" s="145"/>
      <c r="AN620" s="145"/>
      <c r="AO620" s="145"/>
      <c r="AP620" s="145"/>
      <c r="AQ620" s="145"/>
    </row>
    <row r="621" spans="1:43">
      <c r="A621" s="145"/>
      <c r="B621" s="145"/>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c r="AA621" s="145"/>
      <c r="AB621" s="145"/>
      <c r="AC621" s="145"/>
      <c r="AD621" s="145"/>
      <c r="AE621" s="145"/>
      <c r="AF621" s="145"/>
      <c r="AG621" s="145"/>
      <c r="AH621" s="145"/>
      <c r="AI621" s="145"/>
      <c r="AJ621" s="145"/>
      <c r="AK621" s="145"/>
      <c r="AL621" s="145"/>
      <c r="AM621" s="145"/>
      <c r="AN621" s="145"/>
      <c r="AO621" s="145"/>
      <c r="AP621" s="145"/>
      <c r="AQ621" s="145"/>
    </row>
    <row r="622" spans="1:43">
      <c r="A622" s="145"/>
      <c r="B622" s="145"/>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c r="AA622" s="145"/>
      <c r="AB622" s="145"/>
      <c r="AC622" s="145"/>
      <c r="AD622" s="145"/>
      <c r="AE622" s="145"/>
      <c r="AF622" s="145"/>
      <c r="AG622" s="145"/>
      <c r="AH622" s="145"/>
      <c r="AI622" s="145"/>
      <c r="AJ622" s="145"/>
      <c r="AK622" s="145"/>
      <c r="AL622" s="145"/>
      <c r="AM622" s="145"/>
      <c r="AN622" s="145"/>
      <c r="AO622" s="145"/>
      <c r="AP622" s="145"/>
      <c r="AQ622" s="145"/>
    </row>
    <row r="623" spans="1:43">
      <c r="A623" s="145"/>
      <c r="B623" s="145"/>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c r="AA623" s="145"/>
      <c r="AB623" s="145"/>
      <c r="AC623" s="145"/>
      <c r="AD623" s="145"/>
      <c r="AE623" s="145"/>
      <c r="AF623" s="145"/>
      <c r="AG623" s="145"/>
      <c r="AH623" s="145"/>
      <c r="AI623" s="145"/>
      <c r="AJ623" s="145"/>
      <c r="AK623" s="145"/>
      <c r="AL623" s="145"/>
      <c r="AM623" s="145"/>
      <c r="AN623" s="145"/>
      <c r="AO623" s="145"/>
      <c r="AP623" s="145"/>
      <c r="AQ623" s="145"/>
    </row>
    <row r="624" spans="1:43">
      <c r="A624" s="145"/>
      <c r="B624" s="145"/>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c r="AA624" s="145"/>
      <c r="AB624" s="145"/>
      <c r="AC624" s="145"/>
      <c r="AD624" s="145"/>
      <c r="AE624" s="145"/>
      <c r="AF624" s="145"/>
      <c r="AG624" s="145"/>
      <c r="AH624" s="145"/>
      <c r="AI624" s="145"/>
      <c r="AJ624" s="145"/>
      <c r="AK624" s="145"/>
      <c r="AL624" s="145"/>
      <c r="AM624" s="145"/>
      <c r="AN624" s="145"/>
      <c r="AO624" s="145"/>
      <c r="AP624" s="145"/>
      <c r="AQ624" s="145"/>
    </row>
    <row r="625" spans="1:43">
      <c r="A625" s="145"/>
      <c r="B625" s="145"/>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c r="AA625" s="145"/>
      <c r="AB625" s="145"/>
      <c r="AC625" s="145"/>
      <c r="AD625" s="145"/>
      <c r="AE625" s="145"/>
      <c r="AF625" s="145"/>
      <c r="AG625" s="145"/>
      <c r="AH625" s="145"/>
      <c r="AI625" s="145"/>
      <c r="AJ625" s="145"/>
      <c r="AK625" s="145"/>
      <c r="AL625" s="145"/>
      <c r="AM625" s="145"/>
      <c r="AN625" s="145"/>
      <c r="AO625" s="145"/>
      <c r="AP625" s="145"/>
      <c r="AQ625" s="145"/>
    </row>
    <row r="626" spans="1:43">
      <c r="A626" s="145"/>
      <c r="B626" s="145"/>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c r="AA626" s="145"/>
      <c r="AB626" s="145"/>
      <c r="AC626" s="145"/>
      <c r="AD626" s="145"/>
      <c r="AE626" s="145"/>
      <c r="AF626" s="145"/>
      <c r="AG626" s="145"/>
      <c r="AH626" s="145"/>
      <c r="AI626" s="145"/>
      <c r="AJ626" s="145"/>
      <c r="AK626" s="145"/>
      <c r="AL626" s="145"/>
      <c r="AM626" s="145"/>
      <c r="AN626" s="145"/>
      <c r="AO626" s="145"/>
      <c r="AP626" s="145"/>
      <c r="AQ626" s="145"/>
    </row>
    <row r="627" spans="1:43">
      <c r="A627" s="145"/>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145"/>
      <c r="AL627" s="145"/>
      <c r="AM627" s="145"/>
      <c r="AN627" s="145"/>
      <c r="AO627" s="145"/>
      <c r="AP627" s="145"/>
      <c r="AQ627" s="145"/>
    </row>
    <row r="628" spans="1:43">
      <c r="A628" s="145"/>
      <c r="B628" s="145"/>
      <c r="C628" s="145"/>
      <c r="D628" s="145"/>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c r="AA628" s="145"/>
      <c r="AB628" s="145"/>
      <c r="AC628" s="145"/>
      <c r="AD628" s="145"/>
      <c r="AE628" s="145"/>
      <c r="AF628" s="145"/>
      <c r="AG628" s="145"/>
      <c r="AH628" s="145"/>
      <c r="AI628" s="145"/>
      <c r="AJ628" s="145"/>
      <c r="AK628" s="145"/>
      <c r="AL628" s="145"/>
      <c r="AM628" s="145"/>
      <c r="AN628" s="145"/>
      <c r="AO628" s="145"/>
      <c r="AP628" s="145"/>
      <c r="AQ628" s="145"/>
    </row>
    <row r="629" spans="1:43">
      <c r="A629" s="145"/>
      <c r="B629" s="145"/>
      <c r="C629" s="145"/>
      <c r="D629" s="145"/>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c r="AA629" s="145"/>
      <c r="AB629" s="145"/>
      <c r="AC629" s="145"/>
      <c r="AD629" s="145"/>
      <c r="AE629" s="145"/>
      <c r="AF629" s="145"/>
      <c r="AG629" s="145"/>
      <c r="AH629" s="145"/>
      <c r="AI629" s="145"/>
      <c r="AJ629" s="145"/>
      <c r="AK629" s="145"/>
      <c r="AL629" s="145"/>
      <c r="AM629" s="145"/>
      <c r="AN629" s="145"/>
      <c r="AO629" s="145"/>
      <c r="AP629" s="145"/>
      <c r="AQ629" s="145"/>
    </row>
    <row r="630" spans="1:43">
      <c r="A630" s="145"/>
      <c r="B630" s="145"/>
      <c r="C630" s="145"/>
      <c r="D630" s="145"/>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c r="AA630" s="145"/>
      <c r="AB630" s="145"/>
      <c r="AC630" s="145"/>
      <c r="AD630" s="145"/>
      <c r="AE630" s="145"/>
      <c r="AF630" s="145"/>
      <c r="AG630" s="145"/>
      <c r="AH630" s="145"/>
      <c r="AI630" s="145"/>
      <c r="AJ630" s="145"/>
      <c r="AK630" s="145"/>
      <c r="AL630" s="145"/>
      <c r="AM630" s="145"/>
      <c r="AN630" s="145"/>
      <c r="AO630" s="145"/>
      <c r="AP630" s="145"/>
      <c r="AQ630" s="145"/>
    </row>
    <row r="631" spans="1:43">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c r="AA631" s="145"/>
      <c r="AB631" s="145"/>
      <c r="AC631" s="145"/>
      <c r="AD631" s="145"/>
      <c r="AE631" s="145"/>
      <c r="AF631" s="145"/>
      <c r="AG631" s="145"/>
      <c r="AH631" s="145"/>
      <c r="AI631" s="145"/>
      <c r="AJ631" s="145"/>
      <c r="AK631" s="145"/>
      <c r="AL631" s="145"/>
      <c r="AM631" s="145"/>
      <c r="AN631" s="145"/>
      <c r="AO631" s="145"/>
      <c r="AP631" s="145"/>
      <c r="AQ631" s="145"/>
    </row>
    <row r="632" spans="1:43">
      <c r="A632" s="145"/>
      <c r="B632" s="145"/>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c r="AA632" s="145"/>
      <c r="AB632" s="145"/>
      <c r="AC632" s="145"/>
      <c r="AD632" s="145"/>
      <c r="AE632" s="145"/>
      <c r="AF632" s="145"/>
      <c r="AG632" s="145"/>
      <c r="AH632" s="145"/>
      <c r="AI632" s="145"/>
      <c r="AJ632" s="145"/>
      <c r="AK632" s="145"/>
      <c r="AL632" s="145"/>
      <c r="AM632" s="145"/>
      <c r="AN632" s="145"/>
      <c r="AO632" s="145"/>
      <c r="AP632" s="145"/>
      <c r="AQ632" s="145"/>
    </row>
    <row r="633" spans="1:43">
      <c r="A633" s="145"/>
      <c r="B633" s="145"/>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c r="AA633" s="145"/>
      <c r="AB633" s="145"/>
      <c r="AC633" s="145"/>
      <c r="AD633" s="145"/>
      <c r="AE633" s="145"/>
      <c r="AF633" s="145"/>
      <c r="AG633" s="145"/>
      <c r="AH633" s="145"/>
      <c r="AI633" s="145"/>
      <c r="AJ633" s="145"/>
      <c r="AK633" s="145"/>
      <c r="AL633" s="145"/>
      <c r="AM633" s="145"/>
      <c r="AN633" s="145"/>
      <c r="AO633" s="145"/>
      <c r="AP633" s="145"/>
      <c r="AQ633" s="145"/>
    </row>
    <row r="634" spans="1:43">
      <c r="A634" s="145"/>
      <c r="B634" s="145"/>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c r="AA634" s="145"/>
      <c r="AB634" s="145"/>
      <c r="AC634" s="145"/>
      <c r="AD634" s="145"/>
      <c r="AE634" s="145"/>
      <c r="AF634" s="145"/>
      <c r="AG634" s="145"/>
      <c r="AH634" s="145"/>
      <c r="AI634" s="145"/>
      <c r="AJ634" s="145"/>
      <c r="AK634" s="145"/>
      <c r="AL634" s="145"/>
      <c r="AM634" s="145"/>
      <c r="AN634" s="145"/>
      <c r="AO634" s="145"/>
      <c r="AP634" s="145"/>
      <c r="AQ634" s="145"/>
    </row>
    <row r="635" spans="1:43">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c r="AA635" s="145"/>
      <c r="AB635" s="145"/>
      <c r="AC635" s="145"/>
      <c r="AD635" s="145"/>
      <c r="AE635" s="145"/>
      <c r="AF635" s="145"/>
      <c r="AG635" s="145"/>
      <c r="AH635" s="145"/>
      <c r="AI635" s="145"/>
      <c r="AJ635" s="145"/>
      <c r="AK635" s="145"/>
      <c r="AL635" s="145"/>
      <c r="AM635" s="145"/>
      <c r="AN635" s="145"/>
      <c r="AO635" s="145"/>
      <c r="AP635" s="145"/>
      <c r="AQ635" s="145"/>
    </row>
    <row r="636" spans="1:43">
      <c r="A636" s="145"/>
      <c r="B636" s="145"/>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c r="AA636" s="145"/>
      <c r="AB636" s="145"/>
      <c r="AC636" s="145"/>
      <c r="AD636" s="145"/>
      <c r="AE636" s="145"/>
      <c r="AF636" s="145"/>
      <c r="AG636" s="145"/>
      <c r="AH636" s="145"/>
      <c r="AI636" s="145"/>
      <c r="AJ636" s="145"/>
      <c r="AK636" s="145"/>
      <c r="AL636" s="145"/>
      <c r="AM636" s="145"/>
      <c r="AN636" s="145"/>
      <c r="AO636" s="145"/>
      <c r="AP636" s="145"/>
      <c r="AQ636" s="145"/>
    </row>
    <row r="637" spans="1:43">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c r="AA637" s="145"/>
      <c r="AB637" s="145"/>
      <c r="AC637" s="145"/>
      <c r="AD637" s="145"/>
      <c r="AE637" s="145"/>
      <c r="AF637" s="145"/>
      <c r="AG637" s="145"/>
      <c r="AH637" s="145"/>
      <c r="AI637" s="145"/>
      <c r="AJ637" s="145"/>
      <c r="AK637" s="145"/>
      <c r="AL637" s="145"/>
      <c r="AM637" s="145"/>
      <c r="AN637" s="145"/>
      <c r="AO637" s="145"/>
      <c r="AP637" s="145"/>
      <c r="AQ637" s="145"/>
    </row>
    <row r="638" spans="1:43">
      <c r="A638" s="145"/>
      <c r="B638" s="145"/>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c r="AA638" s="145"/>
      <c r="AB638" s="145"/>
      <c r="AC638" s="145"/>
      <c r="AD638" s="145"/>
      <c r="AE638" s="145"/>
      <c r="AF638" s="145"/>
      <c r="AG638" s="145"/>
      <c r="AH638" s="145"/>
      <c r="AI638" s="145"/>
      <c r="AJ638" s="145"/>
      <c r="AK638" s="145"/>
      <c r="AL638" s="145"/>
      <c r="AM638" s="145"/>
      <c r="AN638" s="145"/>
      <c r="AO638" s="145"/>
      <c r="AP638" s="145"/>
      <c r="AQ638" s="145"/>
    </row>
    <row r="639" spans="1:43">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c r="AA639" s="145"/>
      <c r="AB639" s="145"/>
      <c r="AC639" s="145"/>
      <c r="AD639" s="145"/>
      <c r="AE639" s="145"/>
      <c r="AF639" s="145"/>
      <c r="AG639" s="145"/>
      <c r="AH639" s="145"/>
      <c r="AI639" s="145"/>
      <c r="AJ639" s="145"/>
      <c r="AK639" s="145"/>
      <c r="AL639" s="145"/>
      <c r="AM639" s="145"/>
      <c r="AN639" s="145"/>
      <c r="AO639" s="145"/>
      <c r="AP639" s="145"/>
      <c r="AQ639" s="145"/>
    </row>
    <row r="640" spans="1:43">
      <c r="A640" s="145"/>
      <c r="B640" s="145"/>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c r="AA640" s="145"/>
      <c r="AB640" s="145"/>
      <c r="AC640" s="145"/>
      <c r="AD640" s="145"/>
      <c r="AE640" s="145"/>
      <c r="AF640" s="145"/>
      <c r="AG640" s="145"/>
      <c r="AH640" s="145"/>
      <c r="AI640" s="145"/>
      <c r="AJ640" s="145"/>
      <c r="AK640" s="145"/>
      <c r="AL640" s="145"/>
      <c r="AM640" s="145"/>
      <c r="AN640" s="145"/>
      <c r="AO640" s="145"/>
      <c r="AP640" s="145"/>
      <c r="AQ640" s="145"/>
    </row>
    <row r="641" spans="1:43">
      <c r="A641" s="145"/>
      <c r="B641" s="145"/>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c r="AA641" s="145"/>
      <c r="AB641" s="145"/>
      <c r="AC641" s="145"/>
      <c r="AD641" s="145"/>
      <c r="AE641" s="145"/>
      <c r="AF641" s="145"/>
      <c r="AG641" s="145"/>
      <c r="AH641" s="145"/>
      <c r="AI641" s="145"/>
      <c r="AJ641" s="145"/>
      <c r="AK641" s="145"/>
      <c r="AL641" s="145"/>
      <c r="AM641" s="145"/>
      <c r="AN641" s="145"/>
      <c r="AO641" s="145"/>
      <c r="AP641" s="145"/>
      <c r="AQ641" s="145"/>
    </row>
    <row r="642" spans="1:43">
      <c r="A642" s="145"/>
      <c r="B642" s="145"/>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c r="AA642" s="145"/>
      <c r="AB642" s="145"/>
      <c r="AC642" s="145"/>
      <c r="AD642" s="145"/>
      <c r="AE642" s="145"/>
      <c r="AF642" s="145"/>
      <c r="AG642" s="145"/>
      <c r="AH642" s="145"/>
      <c r="AI642" s="145"/>
      <c r="AJ642" s="145"/>
      <c r="AK642" s="145"/>
      <c r="AL642" s="145"/>
      <c r="AM642" s="145"/>
      <c r="AN642" s="145"/>
      <c r="AO642" s="145"/>
      <c r="AP642" s="145"/>
      <c r="AQ642" s="145"/>
    </row>
    <row r="643" spans="1:43">
      <c r="A643" s="145"/>
      <c r="B643" s="145"/>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row>
    <row r="644" spans="1:43">
      <c r="A644" s="145"/>
      <c r="B644" s="145"/>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row>
    <row r="645" spans="1:43">
      <c r="A645" s="145"/>
      <c r="B645" s="145"/>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row>
    <row r="646" spans="1:43">
      <c r="A646" s="145"/>
      <c r="B646" s="145"/>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c r="AA646" s="145"/>
      <c r="AB646" s="145"/>
      <c r="AC646" s="145"/>
      <c r="AD646" s="145"/>
      <c r="AE646" s="145"/>
      <c r="AF646" s="145"/>
      <c r="AG646" s="145"/>
      <c r="AH646" s="145"/>
      <c r="AI646" s="145"/>
      <c r="AJ646" s="145"/>
      <c r="AK646" s="145"/>
      <c r="AL646" s="145"/>
      <c r="AM646" s="145"/>
      <c r="AN646" s="145"/>
      <c r="AO646" s="145"/>
      <c r="AP646" s="145"/>
      <c r="AQ646" s="145"/>
    </row>
    <row r="647" spans="1:43">
      <c r="A647" s="145"/>
      <c r="B647" s="145"/>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c r="AA647" s="145"/>
      <c r="AB647" s="145"/>
      <c r="AC647" s="145"/>
      <c r="AD647" s="145"/>
      <c r="AE647" s="145"/>
      <c r="AF647" s="145"/>
      <c r="AG647" s="145"/>
      <c r="AH647" s="145"/>
      <c r="AI647" s="145"/>
      <c r="AJ647" s="145"/>
      <c r="AK647" s="145"/>
      <c r="AL647" s="145"/>
      <c r="AM647" s="145"/>
      <c r="AN647" s="145"/>
      <c r="AO647" s="145"/>
      <c r="AP647" s="145"/>
      <c r="AQ647" s="145"/>
    </row>
    <row r="648" spans="1:43">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c r="AA648" s="145"/>
      <c r="AB648" s="145"/>
      <c r="AC648" s="145"/>
      <c r="AD648" s="145"/>
      <c r="AE648" s="145"/>
      <c r="AF648" s="145"/>
      <c r="AG648" s="145"/>
      <c r="AH648" s="145"/>
      <c r="AI648" s="145"/>
      <c r="AJ648" s="145"/>
      <c r="AK648" s="145"/>
      <c r="AL648" s="145"/>
      <c r="AM648" s="145"/>
      <c r="AN648" s="145"/>
      <c r="AO648" s="145"/>
      <c r="AP648" s="145"/>
      <c r="AQ648" s="145"/>
    </row>
    <row r="649" spans="1:43">
      <c r="A649" s="145"/>
      <c r="B649" s="145"/>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c r="AA649" s="145"/>
      <c r="AB649" s="145"/>
      <c r="AC649" s="145"/>
      <c r="AD649" s="145"/>
      <c r="AE649" s="145"/>
      <c r="AF649" s="145"/>
      <c r="AG649" s="145"/>
      <c r="AH649" s="145"/>
      <c r="AI649" s="145"/>
      <c r="AJ649" s="145"/>
      <c r="AK649" s="145"/>
      <c r="AL649" s="145"/>
      <c r="AM649" s="145"/>
      <c r="AN649" s="145"/>
      <c r="AO649" s="145"/>
      <c r="AP649" s="145"/>
      <c r="AQ649" s="145"/>
    </row>
    <row r="650" spans="1:43">
      <c r="A650" s="145"/>
      <c r="B650" s="145"/>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c r="AA650" s="145"/>
      <c r="AB650" s="145"/>
      <c r="AC650" s="145"/>
      <c r="AD650" s="145"/>
      <c r="AE650" s="145"/>
      <c r="AF650" s="145"/>
      <c r="AG650" s="145"/>
      <c r="AH650" s="145"/>
      <c r="AI650" s="145"/>
      <c r="AJ650" s="145"/>
      <c r="AK650" s="145"/>
      <c r="AL650" s="145"/>
      <c r="AM650" s="145"/>
      <c r="AN650" s="145"/>
      <c r="AO650" s="145"/>
      <c r="AP650" s="145"/>
      <c r="AQ650" s="145"/>
    </row>
    <row r="651" spans="1:43">
      <c r="A651" s="145"/>
      <c r="B651" s="145"/>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c r="AA651" s="145"/>
      <c r="AB651" s="145"/>
      <c r="AC651" s="145"/>
      <c r="AD651" s="145"/>
      <c r="AE651" s="145"/>
      <c r="AF651" s="145"/>
      <c r="AG651" s="145"/>
      <c r="AH651" s="145"/>
      <c r="AI651" s="145"/>
      <c r="AJ651" s="145"/>
      <c r="AK651" s="145"/>
      <c r="AL651" s="145"/>
      <c r="AM651" s="145"/>
      <c r="AN651" s="145"/>
      <c r="AO651" s="145"/>
      <c r="AP651" s="145"/>
      <c r="AQ651" s="145"/>
    </row>
    <row r="652" spans="1:43">
      <c r="A652" s="145"/>
      <c r="B652" s="145"/>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c r="AA652" s="145"/>
      <c r="AB652" s="145"/>
      <c r="AC652" s="145"/>
      <c r="AD652" s="145"/>
      <c r="AE652" s="145"/>
      <c r="AF652" s="145"/>
      <c r="AG652" s="145"/>
      <c r="AH652" s="145"/>
      <c r="AI652" s="145"/>
      <c r="AJ652" s="145"/>
      <c r="AK652" s="145"/>
      <c r="AL652" s="145"/>
      <c r="AM652" s="145"/>
      <c r="AN652" s="145"/>
      <c r="AO652" s="145"/>
      <c r="AP652" s="145"/>
      <c r="AQ652" s="145"/>
    </row>
    <row r="653" spans="1:43">
      <c r="A653" s="145"/>
      <c r="B653" s="145"/>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c r="AA653" s="145"/>
      <c r="AB653" s="145"/>
      <c r="AC653" s="145"/>
      <c r="AD653" s="145"/>
      <c r="AE653" s="145"/>
      <c r="AF653" s="145"/>
      <c r="AG653" s="145"/>
      <c r="AH653" s="145"/>
      <c r="AI653" s="145"/>
      <c r="AJ653" s="145"/>
      <c r="AK653" s="145"/>
      <c r="AL653" s="145"/>
      <c r="AM653" s="145"/>
      <c r="AN653" s="145"/>
      <c r="AO653" s="145"/>
      <c r="AP653" s="145"/>
      <c r="AQ653" s="145"/>
    </row>
    <row r="654" spans="1:43">
      <c r="A654" s="145"/>
      <c r="B654" s="145"/>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c r="AA654" s="145"/>
      <c r="AB654" s="145"/>
      <c r="AC654" s="145"/>
      <c r="AD654" s="145"/>
      <c r="AE654" s="145"/>
      <c r="AF654" s="145"/>
      <c r="AG654" s="145"/>
      <c r="AH654" s="145"/>
      <c r="AI654" s="145"/>
      <c r="AJ654" s="145"/>
      <c r="AK654" s="145"/>
      <c r="AL654" s="145"/>
      <c r="AM654" s="145"/>
      <c r="AN654" s="145"/>
      <c r="AO654" s="145"/>
      <c r="AP654" s="145"/>
      <c r="AQ654" s="145"/>
    </row>
    <row r="655" spans="1:43">
      <c r="A655" s="145"/>
      <c r="B655" s="145"/>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c r="AA655" s="145"/>
      <c r="AB655" s="145"/>
      <c r="AC655" s="145"/>
      <c r="AD655" s="145"/>
      <c r="AE655" s="145"/>
      <c r="AF655" s="145"/>
      <c r="AG655" s="145"/>
      <c r="AH655" s="145"/>
      <c r="AI655" s="145"/>
      <c r="AJ655" s="145"/>
      <c r="AK655" s="145"/>
      <c r="AL655" s="145"/>
      <c r="AM655" s="145"/>
      <c r="AN655" s="145"/>
      <c r="AO655" s="145"/>
      <c r="AP655" s="145"/>
      <c r="AQ655" s="145"/>
    </row>
    <row r="656" spans="1:43">
      <c r="A656" s="145"/>
      <c r="B656" s="145"/>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c r="AA656" s="145"/>
      <c r="AB656" s="145"/>
      <c r="AC656" s="145"/>
      <c r="AD656" s="145"/>
      <c r="AE656" s="145"/>
      <c r="AF656" s="145"/>
      <c r="AG656" s="145"/>
      <c r="AH656" s="145"/>
      <c r="AI656" s="145"/>
      <c r="AJ656" s="145"/>
      <c r="AK656" s="145"/>
      <c r="AL656" s="145"/>
      <c r="AM656" s="145"/>
      <c r="AN656" s="145"/>
      <c r="AO656" s="145"/>
      <c r="AP656" s="145"/>
      <c r="AQ656" s="145"/>
    </row>
    <row r="657" spans="1:43">
      <c r="A657" s="145"/>
      <c r="B657" s="145"/>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c r="AA657" s="145"/>
      <c r="AB657" s="145"/>
      <c r="AC657" s="145"/>
      <c r="AD657" s="145"/>
      <c r="AE657" s="145"/>
      <c r="AF657" s="145"/>
      <c r="AG657" s="145"/>
      <c r="AH657" s="145"/>
      <c r="AI657" s="145"/>
      <c r="AJ657" s="145"/>
      <c r="AK657" s="145"/>
      <c r="AL657" s="145"/>
      <c r="AM657" s="145"/>
      <c r="AN657" s="145"/>
      <c r="AO657" s="145"/>
      <c r="AP657" s="145"/>
      <c r="AQ657" s="145"/>
    </row>
    <row r="658" spans="1:43">
      <c r="A658" s="145"/>
      <c r="B658" s="145"/>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c r="AA658" s="145"/>
      <c r="AB658" s="145"/>
      <c r="AC658" s="145"/>
      <c r="AD658" s="145"/>
      <c r="AE658" s="145"/>
      <c r="AF658" s="145"/>
      <c r="AG658" s="145"/>
      <c r="AH658" s="145"/>
      <c r="AI658" s="145"/>
      <c r="AJ658" s="145"/>
      <c r="AK658" s="145"/>
      <c r="AL658" s="145"/>
      <c r="AM658" s="145"/>
      <c r="AN658" s="145"/>
      <c r="AO658" s="145"/>
      <c r="AP658" s="145"/>
      <c r="AQ658" s="145"/>
    </row>
    <row r="659" spans="1:43">
      <c r="A659" s="145"/>
      <c r="B659" s="145"/>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c r="AA659" s="145"/>
      <c r="AB659" s="145"/>
      <c r="AC659" s="145"/>
      <c r="AD659" s="145"/>
      <c r="AE659" s="145"/>
      <c r="AF659" s="145"/>
      <c r="AG659" s="145"/>
      <c r="AH659" s="145"/>
      <c r="AI659" s="145"/>
      <c r="AJ659" s="145"/>
      <c r="AK659" s="145"/>
      <c r="AL659" s="145"/>
      <c r="AM659" s="145"/>
      <c r="AN659" s="145"/>
      <c r="AO659" s="145"/>
      <c r="AP659" s="145"/>
      <c r="AQ659" s="145"/>
    </row>
    <row r="660" spans="1:43">
      <c r="A660" s="145"/>
      <c r="B660" s="145"/>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c r="AA660" s="145"/>
      <c r="AB660" s="145"/>
      <c r="AC660" s="145"/>
      <c r="AD660" s="145"/>
      <c r="AE660" s="145"/>
      <c r="AF660" s="145"/>
      <c r="AG660" s="145"/>
      <c r="AH660" s="145"/>
      <c r="AI660" s="145"/>
      <c r="AJ660" s="145"/>
      <c r="AK660" s="145"/>
      <c r="AL660" s="145"/>
      <c r="AM660" s="145"/>
      <c r="AN660" s="145"/>
      <c r="AO660" s="145"/>
      <c r="AP660" s="145"/>
      <c r="AQ660" s="145"/>
    </row>
    <row r="661" spans="1:43">
      <c r="A661" s="145"/>
      <c r="B661" s="145"/>
      <c r="C661" s="145"/>
      <c r="D661" s="145"/>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c r="AA661" s="145"/>
      <c r="AB661" s="145"/>
      <c r="AC661" s="145"/>
      <c r="AD661" s="145"/>
      <c r="AE661" s="145"/>
      <c r="AF661" s="145"/>
      <c r="AG661" s="145"/>
      <c r="AH661" s="145"/>
      <c r="AI661" s="145"/>
      <c r="AJ661" s="145"/>
      <c r="AK661" s="145"/>
      <c r="AL661" s="145"/>
      <c r="AM661" s="145"/>
      <c r="AN661" s="145"/>
      <c r="AO661" s="145"/>
      <c r="AP661" s="145"/>
      <c r="AQ661" s="145"/>
    </row>
    <row r="662" spans="1:43">
      <c r="A662" s="145"/>
      <c r="B662" s="145"/>
      <c r="C662" s="145"/>
      <c r="D662" s="145"/>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c r="AA662" s="145"/>
      <c r="AB662" s="145"/>
      <c r="AC662" s="145"/>
      <c r="AD662" s="145"/>
      <c r="AE662" s="145"/>
      <c r="AF662" s="145"/>
      <c r="AG662" s="145"/>
      <c r="AH662" s="145"/>
      <c r="AI662" s="145"/>
      <c r="AJ662" s="145"/>
      <c r="AK662" s="145"/>
      <c r="AL662" s="145"/>
      <c r="AM662" s="145"/>
      <c r="AN662" s="145"/>
      <c r="AO662" s="145"/>
      <c r="AP662" s="145"/>
      <c r="AQ662" s="145"/>
    </row>
    <row r="663" spans="1:43">
      <c r="A663" s="145"/>
      <c r="B663" s="145"/>
      <c r="C663" s="145"/>
      <c r="D663" s="145"/>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c r="AA663" s="145"/>
      <c r="AB663" s="145"/>
      <c r="AC663" s="145"/>
      <c r="AD663" s="145"/>
      <c r="AE663" s="145"/>
      <c r="AF663" s="145"/>
      <c r="AG663" s="145"/>
      <c r="AH663" s="145"/>
      <c r="AI663" s="145"/>
      <c r="AJ663" s="145"/>
      <c r="AK663" s="145"/>
      <c r="AL663" s="145"/>
      <c r="AM663" s="145"/>
      <c r="AN663" s="145"/>
      <c r="AO663" s="145"/>
      <c r="AP663" s="145"/>
      <c r="AQ663" s="145"/>
    </row>
    <row r="664" spans="1:43">
      <c r="A664" s="145"/>
      <c r="B664" s="145"/>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c r="AA664" s="145"/>
      <c r="AB664" s="145"/>
      <c r="AC664" s="145"/>
      <c r="AD664" s="145"/>
      <c r="AE664" s="145"/>
      <c r="AF664" s="145"/>
      <c r="AG664" s="145"/>
      <c r="AH664" s="145"/>
      <c r="AI664" s="145"/>
      <c r="AJ664" s="145"/>
      <c r="AK664" s="145"/>
      <c r="AL664" s="145"/>
      <c r="AM664" s="145"/>
      <c r="AN664" s="145"/>
      <c r="AO664" s="145"/>
      <c r="AP664" s="145"/>
      <c r="AQ664" s="145"/>
    </row>
    <row r="665" spans="1:43">
      <c r="A665" s="145"/>
      <c r="B665" s="145"/>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c r="AA665" s="145"/>
      <c r="AB665" s="145"/>
      <c r="AC665" s="145"/>
      <c r="AD665" s="145"/>
      <c r="AE665" s="145"/>
      <c r="AF665" s="145"/>
      <c r="AG665" s="145"/>
      <c r="AH665" s="145"/>
      <c r="AI665" s="145"/>
      <c r="AJ665" s="145"/>
      <c r="AK665" s="145"/>
      <c r="AL665" s="145"/>
      <c r="AM665" s="145"/>
      <c r="AN665" s="145"/>
      <c r="AO665" s="145"/>
      <c r="AP665" s="145"/>
      <c r="AQ665" s="145"/>
    </row>
    <row r="666" spans="1:43">
      <c r="A666" s="145"/>
      <c r="B666" s="145"/>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c r="AA666" s="145"/>
      <c r="AB666" s="145"/>
      <c r="AC666" s="145"/>
      <c r="AD666" s="145"/>
      <c r="AE666" s="145"/>
      <c r="AF666" s="145"/>
      <c r="AG666" s="145"/>
      <c r="AH666" s="145"/>
      <c r="AI666" s="145"/>
      <c r="AJ666" s="145"/>
      <c r="AK666" s="145"/>
      <c r="AL666" s="145"/>
      <c r="AM666" s="145"/>
      <c r="AN666" s="145"/>
      <c r="AO666" s="145"/>
      <c r="AP666" s="145"/>
      <c r="AQ666" s="145"/>
    </row>
    <row r="667" spans="1:43">
      <c r="A667" s="145"/>
      <c r="B667" s="145"/>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c r="AA667" s="145"/>
      <c r="AB667" s="145"/>
      <c r="AC667" s="145"/>
      <c r="AD667" s="145"/>
      <c r="AE667" s="145"/>
      <c r="AF667" s="145"/>
      <c r="AG667" s="145"/>
      <c r="AH667" s="145"/>
      <c r="AI667" s="145"/>
      <c r="AJ667" s="145"/>
      <c r="AK667" s="145"/>
      <c r="AL667" s="145"/>
      <c r="AM667" s="145"/>
      <c r="AN667" s="145"/>
      <c r="AO667" s="145"/>
      <c r="AP667" s="145"/>
      <c r="AQ667" s="145"/>
    </row>
    <row r="668" spans="1:43">
      <c r="A668" s="145"/>
      <c r="B668" s="145"/>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c r="AA668" s="145"/>
      <c r="AB668" s="145"/>
      <c r="AC668" s="145"/>
      <c r="AD668" s="145"/>
      <c r="AE668" s="145"/>
      <c r="AF668" s="145"/>
      <c r="AG668" s="145"/>
      <c r="AH668" s="145"/>
      <c r="AI668" s="145"/>
      <c r="AJ668" s="145"/>
      <c r="AK668" s="145"/>
      <c r="AL668" s="145"/>
      <c r="AM668" s="145"/>
      <c r="AN668" s="145"/>
      <c r="AO668" s="145"/>
      <c r="AP668" s="145"/>
      <c r="AQ668" s="145"/>
    </row>
    <row r="669" spans="1:43">
      <c r="A669" s="145"/>
      <c r="B669" s="145"/>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c r="AA669" s="145"/>
      <c r="AB669" s="145"/>
      <c r="AC669" s="145"/>
      <c r="AD669" s="145"/>
      <c r="AE669" s="145"/>
      <c r="AF669" s="145"/>
      <c r="AG669" s="145"/>
      <c r="AH669" s="145"/>
      <c r="AI669" s="145"/>
      <c r="AJ669" s="145"/>
      <c r="AK669" s="145"/>
      <c r="AL669" s="145"/>
      <c r="AM669" s="145"/>
      <c r="AN669" s="145"/>
      <c r="AO669" s="145"/>
      <c r="AP669" s="145"/>
      <c r="AQ669" s="145"/>
    </row>
    <row r="670" spans="1:43">
      <c r="A670" s="145"/>
      <c r="B670" s="145"/>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c r="AA670" s="145"/>
      <c r="AB670" s="145"/>
      <c r="AC670" s="145"/>
      <c r="AD670" s="145"/>
      <c r="AE670" s="145"/>
      <c r="AF670" s="145"/>
      <c r="AG670" s="145"/>
      <c r="AH670" s="145"/>
      <c r="AI670" s="145"/>
      <c r="AJ670" s="145"/>
      <c r="AK670" s="145"/>
      <c r="AL670" s="145"/>
      <c r="AM670" s="145"/>
      <c r="AN670" s="145"/>
      <c r="AO670" s="145"/>
      <c r="AP670" s="145"/>
      <c r="AQ670" s="145"/>
    </row>
    <row r="671" spans="1:43">
      <c r="A671" s="145"/>
      <c r="B671" s="145"/>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c r="AA671" s="145"/>
      <c r="AB671" s="145"/>
      <c r="AC671" s="145"/>
      <c r="AD671" s="145"/>
      <c r="AE671" s="145"/>
      <c r="AF671" s="145"/>
      <c r="AG671" s="145"/>
      <c r="AH671" s="145"/>
      <c r="AI671" s="145"/>
      <c r="AJ671" s="145"/>
      <c r="AK671" s="145"/>
      <c r="AL671" s="145"/>
      <c r="AM671" s="145"/>
      <c r="AN671" s="145"/>
      <c r="AO671" s="145"/>
      <c r="AP671" s="145"/>
      <c r="AQ671" s="145"/>
    </row>
    <row r="672" spans="1:43">
      <c r="A672" s="145"/>
      <c r="B672" s="145"/>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c r="AA672" s="145"/>
      <c r="AB672" s="145"/>
      <c r="AC672" s="145"/>
      <c r="AD672" s="145"/>
      <c r="AE672" s="145"/>
      <c r="AF672" s="145"/>
      <c r="AG672" s="145"/>
      <c r="AH672" s="145"/>
      <c r="AI672" s="145"/>
      <c r="AJ672" s="145"/>
      <c r="AK672" s="145"/>
      <c r="AL672" s="145"/>
      <c r="AM672" s="145"/>
      <c r="AN672" s="145"/>
      <c r="AO672" s="145"/>
      <c r="AP672" s="145"/>
      <c r="AQ672" s="145"/>
    </row>
    <row r="673" spans="1:43">
      <c r="A673" s="145"/>
      <c r="B673" s="145"/>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c r="AA673" s="145"/>
      <c r="AB673" s="145"/>
      <c r="AC673" s="145"/>
      <c r="AD673" s="145"/>
      <c r="AE673" s="145"/>
      <c r="AF673" s="145"/>
      <c r="AG673" s="145"/>
      <c r="AH673" s="145"/>
      <c r="AI673" s="145"/>
      <c r="AJ673" s="145"/>
      <c r="AK673" s="145"/>
      <c r="AL673" s="145"/>
      <c r="AM673" s="145"/>
      <c r="AN673" s="145"/>
      <c r="AO673" s="145"/>
      <c r="AP673" s="145"/>
      <c r="AQ673" s="145"/>
    </row>
    <row r="674" spans="1:43">
      <c r="A674" s="145"/>
      <c r="B674" s="145"/>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c r="AA674" s="145"/>
      <c r="AB674" s="145"/>
      <c r="AC674" s="145"/>
      <c r="AD674" s="145"/>
      <c r="AE674" s="145"/>
      <c r="AF674" s="145"/>
      <c r="AG674" s="145"/>
      <c r="AH674" s="145"/>
      <c r="AI674" s="145"/>
      <c r="AJ674" s="145"/>
      <c r="AK674" s="145"/>
      <c r="AL674" s="145"/>
      <c r="AM674" s="145"/>
      <c r="AN674" s="145"/>
      <c r="AO674" s="145"/>
      <c r="AP674" s="145"/>
      <c r="AQ674" s="145"/>
    </row>
    <row r="675" spans="1:43">
      <c r="A675" s="145"/>
      <c r="B675" s="145"/>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c r="AA675" s="145"/>
      <c r="AB675" s="145"/>
      <c r="AC675" s="145"/>
      <c r="AD675" s="145"/>
      <c r="AE675" s="145"/>
      <c r="AF675" s="145"/>
      <c r="AG675" s="145"/>
      <c r="AH675" s="145"/>
      <c r="AI675" s="145"/>
      <c r="AJ675" s="145"/>
      <c r="AK675" s="145"/>
      <c r="AL675" s="145"/>
      <c r="AM675" s="145"/>
      <c r="AN675" s="145"/>
      <c r="AO675" s="145"/>
      <c r="AP675" s="145"/>
      <c r="AQ675" s="145"/>
    </row>
    <row r="676" spans="1:43">
      <c r="A676" s="145"/>
      <c r="B676" s="145"/>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c r="AA676" s="145"/>
      <c r="AB676" s="145"/>
      <c r="AC676" s="145"/>
      <c r="AD676" s="145"/>
      <c r="AE676" s="145"/>
      <c r="AF676" s="145"/>
      <c r="AG676" s="145"/>
      <c r="AH676" s="145"/>
      <c r="AI676" s="145"/>
      <c r="AJ676" s="145"/>
      <c r="AK676" s="145"/>
      <c r="AL676" s="145"/>
      <c r="AM676" s="145"/>
      <c r="AN676" s="145"/>
      <c r="AO676" s="145"/>
      <c r="AP676" s="145"/>
      <c r="AQ676" s="145"/>
    </row>
    <row r="677" spans="1:43">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c r="AA677" s="145"/>
      <c r="AB677" s="145"/>
      <c r="AC677" s="145"/>
      <c r="AD677" s="145"/>
      <c r="AE677" s="145"/>
      <c r="AF677" s="145"/>
      <c r="AG677" s="145"/>
      <c r="AH677" s="145"/>
      <c r="AI677" s="145"/>
      <c r="AJ677" s="145"/>
      <c r="AK677" s="145"/>
      <c r="AL677" s="145"/>
      <c r="AM677" s="145"/>
      <c r="AN677" s="145"/>
      <c r="AO677" s="145"/>
      <c r="AP677" s="145"/>
      <c r="AQ677" s="145"/>
    </row>
    <row r="678" spans="1:43">
      <c r="A678" s="145"/>
      <c r="B678" s="145"/>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c r="AA678" s="145"/>
      <c r="AB678" s="145"/>
      <c r="AC678" s="145"/>
      <c r="AD678" s="145"/>
      <c r="AE678" s="145"/>
      <c r="AF678" s="145"/>
      <c r="AG678" s="145"/>
      <c r="AH678" s="145"/>
      <c r="AI678" s="145"/>
      <c r="AJ678" s="145"/>
      <c r="AK678" s="145"/>
      <c r="AL678" s="145"/>
      <c r="AM678" s="145"/>
      <c r="AN678" s="145"/>
      <c r="AO678" s="145"/>
      <c r="AP678" s="145"/>
      <c r="AQ678" s="145"/>
    </row>
    <row r="679" spans="1:43">
      <c r="A679" s="145"/>
      <c r="B679" s="145"/>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c r="AA679" s="145"/>
      <c r="AB679" s="145"/>
      <c r="AC679" s="145"/>
      <c r="AD679" s="145"/>
      <c r="AE679" s="145"/>
      <c r="AF679" s="145"/>
      <c r="AG679" s="145"/>
      <c r="AH679" s="145"/>
      <c r="AI679" s="145"/>
      <c r="AJ679" s="145"/>
      <c r="AK679" s="145"/>
      <c r="AL679" s="145"/>
      <c r="AM679" s="145"/>
      <c r="AN679" s="145"/>
      <c r="AO679" s="145"/>
      <c r="AP679" s="145"/>
      <c r="AQ679" s="145"/>
    </row>
    <row r="680" spans="1:43">
      <c r="A680" s="145"/>
      <c r="B680" s="145"/>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c r="AA680" s="145"/>
      <c r="AB680" s="145"/>
      <c r="AC680" s="145"/>
      <c r="AD680" s="145"/>
      <c r="AE680" s="145"/>
      <c r="AF680" s="145"/>
      <c r="AG680" s="145"/>
      <c r="AH680" s="145"/>
      <c r="AI680" s="145"/>
      <c r="AJ680" s="145"/>
      <c r="AK680" s="145"/>
      <c r="AL680" s="145"/>
      <c r="AM680" s="145"/>
      <c r="AN680" s="145"/>
      <c r="AO680" s="145"/>
      <c r="AP680" s="145"/>
      <c r="AQ680" s="145"/>
    </row>
    <row r="681" spans="1:43">
      <c r="A681" s="145"/>
      <c r="B681" s="145"/>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c r="AA681" s="145"/>
      <c r="AB681" s="145"/>
      <c r="AC681" s="145"/>
      <c r="AD681" s="145"/>
      <c r="AE681" s="145"/>
      <c r="AF681" s="145"/>
      <c r="AG681" s="145"/>
      <c r="AH681" s="145"/>
      <c r="AI681" s="145"/>
      <c r="AJ681" s="145"/>
      <c r="AK681" s="145"/>
      <c r="AL681" s="145"/>
      <c r="AM681" s="145"/>
      <c r="AN681" s="145"/>
      <c r="AO681" s="145"/>
      <c r="AP681" s="145"/>
      <c r="AQ681" s="145"/>
    </row>
    <row r="682" spans="1:43">
      <c r="A682" s="145"/>
      <c r="B682" s="145"/>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c r="AA682" s="145"/>
      <c r="AB682" s="145"/>
      <c r="AC682" s="145"/>
      <c r="AD682" s="145"/>
      <c r="AE682" s="145"/>
      <c r="AF682" s="145"/>
      <c r="AG682" s="145"/>
      <c r="AH682" s="145"/>
      <c r="AI682" s="145"/>
      <c r="AJ682" s="145"/>
      <c r="AK682" s="145"/>
      <c r="AL682" s="145"/>
      <c r="AM682" s="145"/>
      <c r="AN682" s="145"/>
      <c r="AO682" s="145"/>
      <c r="AP682" s="145"/>
      <c r="AQ682" s="145"/>
    </row>
    <row r="683" spans="1:43">
      <c r="A683" s="145"/>
      <c r="B683" s="145"/>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c r="AA683" s="145"/>
      <c r="AB683" s="145"/>
      <c r="AC683" s="145"/>
      <c r="AD683" s="145"/>
      <c r="AE683" s="145"/>
      <c r="AF683" s="145"/>
      <c r="AG683" s="145"/>
      <c r="AH683" s="145"/>
      <c r="AI683" s="145"/>
      <c r="AJ683" s="145"/>
      <c r="AK683" s="145"/>
      <c r="AL683" s="145"/>
      <c r="AM683" s="145"/>
      <c r="AN683" s="145"/>
      <c r="AO683" s="145"/>
      <c r="AP683" s="145"/>
      <c r="AQ683" s="145"/>
    </row>
    <row r="684" spans="1:43">
      <c r="A684" s="145"/>
      <c r="B684" s="145"/>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c r="AA684" s="145"/>
      <c r="AB684" s="145"/>
      <c r="AC684" s="145"/>
      <c r="AD684" s="145"/>
      <c r="AE684" s="145"/>
      <c r="AF684" s="145"/>
      <c r="AG684" s="145"/>
      <c r="AH684" s="145"/>
      <c r="AI684" s="145"/>
      <c r="AJ684" s="145"/>
      <c r="AK684" s="145"/>
      <c r="AL684" s="145"/>
      <c r="AM684" s="145"/>
      <c r="AN684" s="145"/>
      <c r="AO684" s="145"/>
      <c r="AP684" s="145"/>
      <c r="AQ684" s="145"/>
    </row>
    <row r="685" spans="1:43">
      <c r="A685" s="145"/>
      <c r="B685" s="145"/>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c r="AA685" s="145"/>
      <c r="AB685" s="145"/>
      <c r="AC685" s="145"/>
      <c r="AD685" s="145"/>
      <c r="AE685" s="145"/>
      <c r="AF685" s="145"/>
      <c r="AG685" s="145"/>
      <c r="AH685" s="145"/>
      <c r="AI685" s="145"/>
      <c r="AJ685" s="145"/>
      <c r="AK685" s="145"/>
      <c r="AL685" s="145"/>
      <c r="AM685" s="145"/>
      <c r="AN685" s="145"/>
      <c r="AO685" s="145"/>
      <c r="AP685" s="145"/>
      <c r="AQ685" s="145"/>
    </row>
    <row r="686" spans="1:43">
      <c r="A686" s="145"/>
      <c r="B686" s="145"/>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c r="AA686" s="145"/>
      <c r="AB686" s="145"/>
      <c r="AC686" s="145"/>
      <c r="AD686" s="145"/>
      <c r="AE686" s="145"/>
      <c r="AF686" s="145"/>
      <c r="AG686" s="145"/>
      <c r="AH686" s="145"/>
      <c r="AI686" s="145"/>
      <c r="AJ686" s="145"/>
      <c r="AK686" s="145"/>
      <c r="AL686" s="145"/>
      <c r="AM686" s="145"/>
      <c r="AN686" s="145"/>
      <c r="AO686" s="145"/>
      <c r="AP686" s="145"/>
      <c r="AQ686" s="145"/>
    </row>
    <row r="687" spans="1:43">
      <c r="A687" s="145"/>
      <c r="B687" s="145"/>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c r="AA687" s="145"/>
      <c r="AB687" s="145"/>
      <c r="AC687" s="145"/>
      <c r="AD687" s="145"/>
      <c r="AE687" s="145"/>
      <c r="AF687" s="145"/>
      <c r="AG687" s="145"/>
      <c r="AH687" s="145"/>
      <c r="AI687" s="145"/>
      <c r="AJ687" s="145"/>
      <c r="AK687" s="145"/>
      <c r="AL687" s="145"/>
      <c r="AM687" s="145"/>
      <c r="AN687" s="145"/>
      <c r="AO687" s="145"/>
      <c r="AP687" s="145"/>
      <c r="AQ687" s="145"/>
    </row>
    <row r="688" spans="1:43">
      <c r="A688" s="145"/>
      <c r="B688" s="145"/>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c r="AA688" s="145"/>
      <c r="AB688" s="145"/>
      <c r="AC688" s="145"/>
      <c r="AD688" s="145"/>
      <c r="AE688" s="145"/>
      <c r="AF688" s="145"/>
      <c r="AG688" s="145"/>
      <c r="AH688" s="145"/>
      <c r="AI688" s="145"/>
      <c r="AJ688" s="145"/>
      <c r="AK688" s="145"/>
      <c r="AL688" s="145"/>
      <c r="AM688" s="145"/>
      <c r="AN688" s="145"/>
      <c r="AO688" s="145"/>
      <c r="AP688" s="145"/>
      <c r="AQ688" s="145"/>
    </row>
    <row r="689" spans="1:43">
      <c r="A689" s="145"/>
      <c r="B689" s="145"/>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c r="AA689" s="145"/>
      <c r="AB689" s="145"/>
      <c r="AC689" s="145"/>
      <c r="AD689" s="145"/>
      <c r="AE689" s="145"/>
      <c r="AF689" s="145"/>
      <c r="AG689" s="145"/>
      <c r="AH689" s="145"/>
      <c r="AI689" s="145"/>
      <c r="AJ689" s="145"/>
      <c r="AK689" s="145"/>
      <c r="AL689" s="145"/>
      <c r="AM689" s="145"/>
      <c r="AN689" s="145"/>
      <c r="AO689" s="145"/>
      <c r="AP689" s="145"/>
      <c r="AQ689" s="145"/>
    </row>
    <row r="690" spans="1:43">
      <c r="A690" s="145"/>
      <c r="B690" s="145"/>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c r="AA690" s="145"/>
      <c r="AB690" s="145"/>
      <c r="AC690" s="145"/>
      <c r="AD690" s="145"/>
      <c r="AE690" s="145"/>
      <c r="AF690" s="145"/>
      <c r="AG690" s="145"/>
      <c r="AH690" s="145"/>
      <c r="AI690" s="145"/>
      <c r="AJ690" s="145"/>
      <c r="AK690" s="145"/>
      <c r="AL690" s="145"/>
      <c r="AM690" s="145"/>
      <c r="AN690" s="145"/>
      <c r="AO690" s="145"/>
      <c r="AP690" s="145"/>
      <c r="AQ690" s="145"/>
    </row>
    <row r="691" spans="1:43">
      <c r="A691" s="145"/>
      <c r="B691" s="145"/>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c r="AA691" s="145"/>
      <c r="AB691" s="145"/>
      <c r="AC691" s="145"/>
      <c r="AD691" s="145"/>
      <c r="AE691" s="145"/>
      <c r="AF691" s="145"/>
      <c r="AG691" s="145"/>
      <c r="AH691" s="145"/>
      <c r="AI691" s="145"/>
      <c r="AJ691" s="145"/>
      <c r="AK691" s="145"/>
      <c r="AL691" s="145"/>
      <c r="AM691" s="145"/>
      <c r="AN691" s="145"/>
      <c r="AO691" s="145"/>
      <c r="AP691" s="145"/>
      <c r="AQ691" s="145"/>
    </row>
    <row r="692" spans="1:43">
      <c r="A692" s="145"/>
      <c r="B692" s="145"/>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c r="AA692" s="145"/>
      <c r="AB692" s="145"/>
      <c r="AC692" s="145"/>
      <c r="AD692" s="145"/>
      <c r="AE692" s="145"/>
      <c r="AF692" s="145"/>
      <c r="AG692" s="145"/>
      <c r="AH692" s="145"/>
      <c r="AI692" s="145"/>
      <c r="AJ692" s="145"/>
      <c r="AK692" s="145"/>
      <c r="AL692" s="145"/>
      <c r="AM692" s="145"/>
      <c r="AN692" s="145"/>
      <c r="AO692" s="145"/>
      <c r="AP692" s="145"/>
      <c r="AQ692" s="145"/>
    </row>
    <row r="693" spans="1:43">
      <c r="A693" s="145"/>
      <c r="B693" s="145"/>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c r="AA693" s="145"/>
      <c r="AB693" s="145"/>
      <c r="AC693" s="145"/>
      <c r="AD693" s="145"/>
      <c r="AE693" s="145"/>
      <c r="AF693" s="145"/>
      <c r="AG693" s="145"/>
      <c r="AH693" s="145"/>
      <c r="AI693" s="145"/>
      <c r="AJ693" s="145"/>
      <c r="AK693" s="145"/>
      <c r="AL693" s="145"/>
      <c r="AM693" s="145"/>
      <c r="AN693" s="145"/>
      <c r="AO693" s="145"/>
      <c r="AP693" s="145"/>
      <c r="AQ693" s="145"/>
    </row>
    <row r="694" spans="1:43">
      <c r="A694" s="145"/>
      <c r="B694" s="145"/>
      <c r="C694" s="145"/>
      <c r="D694" s="145"/>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c r="AA694" s="145"/>
      <c r="AB694" s="145"/>
      <c r="AC694" s="145"/>
      <c r="AD694" s="145"/>
      <c r="AE694" s="145"/>
      <c r="AF694" s="145"/>
      <c r="AG694" s="145"/>
      <c r="AH694" s="145"/>
      <c r="AI694" s="145"/>
      <c r="AJ694" s="145"/>
      <c r="AK694" s="145"/>
      <c r="AL694" s="145"/>
      <c r="AM694" s="145"/>
      <c r="AN694" s="145"/>
      <c r="AO694" s="145"/>
      <c r="AP694" s="145"/>
      <c r="AQ694" s="145"/>
    </row>
    <row r="695" spans="1:43">
      <c r="A695" s="145"/>
      <c r="B695" s="145"/>
      <c r="C695" s="145"/>
      <c r="D695" s="145"/>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c r="AA695" s="145"/>
      <c r="AB695" s="145"/>
      <c r="AC695" s="145"/>
      <c r="AD695" s="145"/>
      <c r="AE695" s="145"/>
      <c r="AF695" s="145"/>
      <c r="AG695" s="145"/>
      <c r="AH695" s="145"/>
      <c r="AI695" s="145"/>
      <c r="AJ695" s="145"/>
      <c r="AK695" s="145"/>
      <c r="AL695" s="145"/>
      <c r="AM695" s="145"/>
      <c r="AN695" s="145"/>
      <c r="AO695" s="145"/>
      <c r="AP695" s="145"/>
      <c r="AQ695" s="145"/>
    </row>
    <row r="696" spans="1:43">
      <c r="A696" s="145"/>
      <c r="B696" s="145"/>
      <c r="C696" s="145"/>
      <c r="D696" s="145"/>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c r="AA696" s="145"/>
      <c r="AB696" s="145"/>
      <c r="AC696" s="145"/>
      <c r="AD696" s="145"/>
      <c r="AE696" s="145"/>
      <c r="AF696" s="145"/>
      <c r="AG696" s="145"/>
      <c r="AH696" s="145"/>
      <c r="AI696" s="145"/>
      <c r="AJ696" s="145"/>
      <c r="AK696" s="145"/>
      <c r="AL696" s="145"/>
      <c r="AM696" s="145"/>
      <c r="AN696" s="145"/>
      <c r="AO696" s="145"/>
      <c r="AP696" s="145"/>
      <c r="AQ696" s="145"/>
    </row>
    <row r="697" spans="1:43">
      <c r="A697" s="145"/>
      <c r="B697" s="145"/>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row>
    <row r="698" spans="1:43">
      <c r="A698" s="145"/>
      <c r="B698" s="145"/>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row>
    <row r="699" spans="1:43">
      <c r="A699" s="145"/>
      <c r="B699" s="145"/>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c r="AA699" s="145"/>
      <c r="AB699" s="145"/>
      <c r="AC699" s="145"/>
      <c r="AD699" s="145"/>
      <c r="AE699" s="145"/>
      <c r="AF699" s="145"/>
      <c r="AG699" s="145"/>
      <c r="AH699" s="145"/>
      <c r="AI699" s="145"/>
      <c r="AJ699" s="145"/>
      <c r="AK699" s="145"/>
      <c r="AL699" s="145"/>
      <c r="AM699" s="145"/>
      <c r="AN699" s="145"/>
      <c r="AO699" s="145"/>
      <c r="AP699" s="145"/>
      <c r="AQ699" s="145"/>
    </row>
    <row r="700" spans="1:43">
      <c r="A700" s="145"/>
      <c r="B700" s="145"/>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c r="AA700" s="145"/>
      <c r="AB700" s="145"/>
      <c r="AC700" s="145"/>
      <c r="AD700" s="145"/>
      <c r="AE700" s="145"/>
      <c r="AF700" s="145"/>
      <c r="AG700" s="145"/>
      <c r="AH700" s="145"/>
      <c r="AI700" s="145"/>
      <c r="AJ700" s="145"/>
      <c r="AK700" s="145"/>
      <c r="AL700" s="145"/>
      <c r="AM700" s="145"/>
      <c r="AN700" s="145"/>
      <c r="AO700" s="145"/>
      <c r="AP700" s="145"/>
      <c r="AQ700" s="145"/>
    </row>
    <row r="701" spans="1:43">
      <c r="A701" s="145"/>
      <c r="B701" s="145"/>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c r="AA701" s="145"/>
      <c r="AB701" s="145"/>
      <c r="AC701" s="145"/>
      <c r="AD701" s="145"/>
      <c r="AE701" s="145"/>
      <c r="AF701" s="145"/>
      <c r="AG701" s="145"/>
      <c r="AH701" s="145"/>
      <c r="AI701" s="145"/>
      <c r="AJ701" s="145"/>
      <c r="AK701" s="145"/>
      <c r="AL701" s="145"/>
      <c r="AM701" s="145"/>
      <c r="AN701" s="145"/>
      <c r="AO701" s="145"/>
      <c r="AP701" s="145"/>
      <c r="AQ701" s="145"/>
    </row>
    <row r="702" spans="1:43">
      <c r="A702" s="145"/>
      <c r="B702" s="145"/>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c r="AA702" s="145"/>
      <c r="AB702" s="145"/>
      <c r="AC702" s="145"/>
      <c r="AD702" s="145"/>
      <c r="AE702" s="145"/>
      <c r="AF702" s="145"/>
      <c r="AG702" s="145"/>
      <c r="AH702" s="145"/>
      <c r="AI702" s="145"/>
      <c r="AJ702" s="145"/>
      <c r="AK702" s="145"/>
      <c r="AL702" s="145"/>
      <c r="AM702" s="145"/>
      <c r="AN702" s="145"/>
      <c r="AO702" s="145"/>
      <c r="AP702" s="145"/>
      <c r="AQ702" s="145"/>
    </row>
    <row r="703" spans="1:43">
      <c r="A703" s="145"/>
      <c r="B703" s="145"/>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c r="AA703" s="145"/>
      <c r="AB703" s="145"/>
      <c r="AC703" s="145"/>
      <c r="AD703" s="145"/>
      <c r="AE703" s="145"/>
      <c r="AF703" s="145"/>
      <c r="AG703" s="145"/>
      <c r="AH703" s="145"/>
      <c r="AI703" s="145"/>
      <c r="AJ703" s="145"/>
      <c r="AK703" s="145"/>
      <c r="AL703" s="145"/>
      <c r="AM703" s="145"/>
      <c r="AN703" s="145"/>
      <c r="AO703" s="145"/>
      <c r="AP703" s="145"/>
      <c r="AQ703" s="145"/>
    </row>
    <row r="704" spans="1:43">
      <c r="A704" s="145"/>
      <c r="B704" s="145"/>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c r="AA704" s="145"/>
      <c r="AB704" s="145"/>
      <c r="AC704" s="145"/>
      <c r="AD704" s="145"/>
      <c r="AE704" s="145"/>
      <c r="AF704" s="145"/>
      <c r="AG704" s="145"/>
      <c r="AH704" s="145"/>
      <c r="AI704" s="145"/>
      <c r="AJ704" s="145"/>
      <c r="AK704" s="145"/>
      <c r="AL704" s="145"/>
      <c r="AM704" s="145"/>
      <c r="AN704" s="145"/>
      <c r="AO704" s="145"/>
      <c r="AP704" s="145"/>
      <c r="AQ704" s="145"/>
    </row>
    <row r="705" spans="1:43">
      <c r="A705" s="145"/>
      <c r="B705" s="145"/>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c r="AA705" s="145"/>
      <c r="AB705" s="145"/>
      <c r="AC705" s="145"/>
      <c r="AD705" s="145"/>
      <c r="AE705" s="145"/>
      <c r="AF705" s="145"/>
      <c r="AG705" s="145"/>
      <c r="AH705" s="145"/>
      <c r="AI705" s="145"/>
      <c r="AJ705" s="145"/>
      <c r="AK705" s="145"/>
      <c r="AL705" s="145"/>
      <c r="AM705" s="145"/>
      <c r="AN705" s="145"/>
      <c r="AO705" s="145"/>
      <c r="AP705" s="145"/>
      <c r="AQ705" s="145"/>
    </row>
    <row r="706" spans="1:43">
      <c r="A706" s="145"/>
      <c r="B706" s="145"/>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c r="AA706" s="145"/>
      <c r="AB706" s="145"/>
      <c r="AC706" s="145"/>
      <c r="AD706" s="145"/>
      <c r="AE706" s="145"/>
      <c r="AF706" s="145"/>
      <c r="AG706" s="145"/>
      <c r="AH706" s="145"/>
      <c r="AI706" s="145"/>
      <c r="AJ706" s="145"/>
      <c r="AK706" s="145"/>
      <c r="AL706" s="145"/>
      <c r="AM706" s="145"/>
      <c r="AN706" s="145"/>
      <c r="AO706" s="145"/>
      <c r="AP706" s="145"/>
      <c r="AQ706" s="145"/>
    </row>
    <row r="707" spans="1:43">
      <c r="A707" s="145"/>
      <c r="B707" s="145"/>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c r="AA707" s="145"/>
      <c r="AB707" s="145"/>
      <c r="AC707" s="145"/>
      <c r="AD707" s="145"/>
      <c r="AE707" s="145"/>
      <c r="AF707" s="145"/>
      <c r="AG707" s="145"/>
      <c r="AH707" s="145"/>
      <c r="AI707" s="145"/>
      <c r="AJ707" s="145"/>
      <c r="AK707" s="145"/>
      <c r="AL707" s="145"/>
      <c r="AM707" s="145"/>
      <c r="AN707" s="145"/>
      <c r="AO707" s="145"/>
      <c r="AP707" s="145"/>
      <c r="AQ707" s="145"/>
    </row>
    <row r="708" spans="1:43">
      <c r="A708" s="145"/>
      <c r="B708" s="145"/>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c r="AA708" s="145"/>
      <c r="AB708" s="145"/>
      <c r="AC708" s="145"/>
      <c r="AD708" s="145"/>
      <c r="AE708" s="145"/>
      <c r="AF708" s="145"/>
      <c r="AG708" s="145"/>
      <c r="AH708" s="145"/>
      <c r="AI708" s="145"/>
      <c r="AJ708" s="145"/>
      <c r="AK708" s="145"/>
      <c r="AL708" s="145"/>
      <c r="AM708" s="145"/>
      <c r="AN708" s="145"/>
      <c r="AO708" s="145"/>
      <c r="AP708" s="145"/>
      <c r="AQ708" s="145"/>
    </row>
    <row r="709" spans="1:43">
      <c r="A709" s="145"/>
      <c r="B709" s="145"/>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c r="AA709" s="145"/>
      <c r="AB709" s="145"/>
      <c r="AC709" s="145"/>
      <c r="AD709" s="145"/>
      <c r="AE709" s="145"/>
      <c r="AF709" s="145"/>
      <c r="AG709" s="145"/>
      <c r="AH709" s="145"/>
      <c r="AI709" s="145"/>
      <c r="AJ709" s="145"/>
      <c r="AK709" s="145"/>
      <c r="AL709" s="145"/>
      <c r="AM709" s="145"/>
      <c r="AN709" s="145"/>
      <c r="AO709" s="145"/>
      <c r="AP709" s="145"/>
      <c r="AQ709" s="145"/>
    </row>
    <row r="710" spans="1:43">
      <c r="A710" s="145"/>
      <c r="B710" s="145"/>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c r="AA710" s="145"/>
      <c r="AB710" s="145"/>
      <c r="AC710" s="145"/>
      <c r="AD710" s="145"/>
      <c r="AE710" s="145"/>
      <c r="AF710" s="145"/>
      <c r="AG710" s="145"/>
      <c r="AH710" s="145"/>
      <c r="AI710" s="145"/>
      <c r="AJ710" s="145"/>
      <c r="AK710" s="145"/>
      <c r="AL710" s="145"/>
      <c r="AM710" s="145"/>
      <c r="AN710" s="145"/>
      <c r="AO710" s="145"/>
      <c r="AP710" s="145"/>
      <c r="AQ710" s="145"/>
    </row>
    <row r="711" spans="1:43">
      <c r="A711" s="145"/>
      <c r="B711" s="145"/>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row>
    <row r="712" spans="1:43">
      <c r="A712" s="145"/>
      <c r="B712" s="145"/>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c r="AA712" s="145"/>
      <c r="AB712" s="145"/>
      <c r="AC712" s="145"/>
      <c r="AD712" s="145"/>
      <c r="AE712" s="145"/>
      <c r="AF712" s="145"/>
      <c r="AG712" s="145"/>
      <c r="AH712" s="145"/>
      <c r="AI712" s="145"/>
      <c r="AJ712" s="145"/>
      <c r="AK712" s="145"/>
      <c r="AL712" s="145"/>
      <c r="AM712" s="145"/>
      <c r="AN712" s="145"/>
      <c r="AO712" s="145"/>
      <c r="AP712" s="145"/>
      <c r="AQ712" s="145"/>
    </row>
    <row r="713" spans="1:43">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5"/>
      <c r="AD713" s="145"/>
      <c r="AE713" s="145"/>
      <c r="AF713" s="145"/>
      <c r="AG713" s="145"/>
      <c r="AH713" s="145"/>
      <c r="AI713" s="145"/>
      <c r="AJ713" s="145"/>
      <c r="AK713" s="145"/>
      <c r="AL713" s="145"/>
      <c r="AM713" s="145"/>
      <c r="AN713" s="145"/>
      <c r="AO713" s="145"/>
      <c r="AP713" s="145"/>
      <c r="AQ713" s="145"/>
    </row>
    <row r="714" spans="1:43">
      <c r="A714" s="145"/>
      <c r="B714" s="145"/>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c r="AH714" s="145"/>
      <c r="AI714" s="145"/>
      <c r="AJ714" s="145"/>
      <c r="AK714" s="145"/>
      <c r="AL714" s="145"/>
      <c r="AM714" s="145"/>
      <c r="AN714" s="145"/>
      <c r="AO714" s="145"/>
      <c r="AP714" s="145"/>
      <c r="AQ714" s="145"/>
    </row>
    <row r="715" spans="1:43">
      <c r="A715" s="145"/>
      <c r="B715" s="145"/>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c r="AA715" s="145"/>
      <c r="AB715" s="145"/>
      <c r="AC715" s="145"/>
      <c r="AD715" s="145"/>
      <c r="AE715" s="145"/>
      <c r="AF715" s="145"/>
      <c r="AG715" s="145"/>
      <c r="AH715" s="145"/>
      <c r="AI715" s="145"/>
      <c r="AJ715" s="145"/>
      <c r="AK715" s="145"/>
      <c r="AL715" s="145"/>
      <c r="AM715" s="145"/>
      <c r="AN715" s="145"/>
      <c r="AO715" s="145"/>
      <c r="AP715" s="145"/>
      <c r="AQ715" s="145"/>
    </row>
    <row r="716" spans="1:43">
      <c r="A716" s="145"/>
      <c r="B716" s="145"/>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c r="AA716" s="145"/>
      <c r="AB716" s="145"/>
      <c r="AC716" s="145"/>
      <c r="AD716" s="145"/>
      <c r="AE716" s="145"/>
      <c r="AF716" s="145"/>
      <c r="AG716" s="145"/>
      <c r="AH716" s="145"/>
      <c r="AI716" s="145"/>
      <c r="AJ716" s="145"/>
      <c r="AK716" s="145"/>
      <c r="AL716" s="145"/>
      <c r="AM716" s="145"/>
      <c r="AN716" s="145"/>
      <c r="AO716" s="145"/>
      <c r="AP716" s="145"/>
      <c r="AQ716" s="145"/>
    </row>
    <row r="717" spans="1:43">
      <c r="A717" s="145"/>
      <c r="B717" s="145"/>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c r="AA717" s="145"/>
      <c r="AB717" s="145"/>
      <c r="AC717" s="145"/>
      <c r="AD717" s="145"/>
      <c r="AE717" s="145"/>
      <c r="AF717" s="145"/>
      <c r="AG717" s="145"/>
      <c r="AH717" s="145"/>
      <c r="AI717" s="145"/>
      <c r="AJ717" s="145"/>
      <c r="AK717" s="145"/>
      <c r="AL717" s="145"/>
      <c r="AM717" s="145"/>
      <c r="AN717" s="145"/>
      <c r="AO717" s="145"/>
      <c r="AP717" s="145"/>
      <c r="AQ717" s="145"/>
    </row>
    <row r="718" spans="1:43">
      <c r="A718" s="145"/>
      <c r="B718" s="145"/>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c r="AA718" s="145"/>
      <c r="AB718" s="145"/>
      <c r="AC718" s="145"/>
      <c r="AD718" s="145"/>
      <c r="AE718" s="145"/>
      <c r="AF718" s="145"/>
      <c r="AG718" s="145"/>
      <c r="AH718" s="145"/>
      <c r="AI718" s="145"/>
      <c r="AJ718" s="145"/>
      <c r="AK718" s="145"/>
      <c r="AL718" s="145"/>
      <c r="AM718" s="145"/>
      <c r="AN718" s="145"/>
      <c r="AO718" s="145"/>
      <c r="AP718" s="145"/>
      <c r="AQ718" s="145"/>
    </row>
    <row r="719" spans="1:43">
      <c r="A719" s="145"/>
      <c r="B719" s="145"/>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c r="AA719" s="145"/>
      <c r="AB719" s="145"/>
      <c r="AC719" s="145"/>
      <c r="AD719" s="145"/>
      <c r="AE719" s="145"/>
      <c r="AF719" s="145"/>
      <c r="AG719" s="145"/>
      <c r="AH719" s="145"/>
      <c r="AI719" s="145"/>
      <c r="AJ719" s="145"/>
      <c r="AK719" s="145"/>
      <c r="AL719" s="145"/>
      <c r="AM719" s="145"/>
      <c r="AN719" s="145"/>
      <c r="AO719" s="145"/>
      <c r="AP719" s="145"/>
      <c r="AQ719" s="145"/>
    </row>
    <row r="720" spans="1:43">
      <c r="A720" s="145"/>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c r="AA720" s="145"/>
      <c r="AB720" s="145"/>
      <c r="AC720" s="145"/>
      <c r="AD720" s="145"/>
      <c r="AE720" s="145"/>
      <c r="AF720" s="145"/>
      <c r="AG720" s="145"/>
      <c r="AH720" s="145"/>
      <c r="AI720" s="145"/>
      <c r="AJ720" s="145"/>
      <c r="AK720" s="145"/>
      <c r="AL720" s="145"/>
      <c r="AM720" s="145"/>
      <c r="AN720" s="145"/>
      <c r="AO720" s="145"/>
      <c r="AP720" s="145"/>
      <c r="AQ720" s="145"/>
    </row>
    <row r="721" spans="1:43">
      <c r="A721" s="145"/>
      <c r="B721" s="145"/>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c r="AA721" s="145"/>
      <c r="AB721" s="145"/>
      <c r="AC721" s="145"/>
      <c r="AD721" s="145"/>
      <c r="AE721" s="145"/>
      <c r="AF721" s="145"/>
      <c r="AG721" s="145"/>
      <c r="AH721" s="145"/>
      <c r="AI721" s="145"/>
      <c r="AJ721" s="145"/>
      <c r="AK721" s="145"/>
      <c r="AL721" s="145"/>
      <c r="AM721" s="145"/>
      <c r="AN721" s="145"/>
      <c r="AO721" s="145"/>
      <c r="AP721" s="145"/>
      <c r="AQ721" s="145"/>
    </row>
    <row r="722" spans="1:43">
      <c r="A722" s="145"/>
      <c r="B722" s="145"/>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c r="AA722" s="145"/>
      <c r="AB722" s="145"/>
      <c r="AC722" s="145"/>
      <c r="AD722" s="145"/>
      <c r="AE722" s="145"/>
      <c r="AF722" s="145"/>
      <c r="AG722" s="145"/>
      <c r="AH722" s="145"/>
      <c r="AI722" s="145"/>
      <c r="AJ722" s="145"/>
      <c r="AK722" s="145"/>
      <c r="AL722" s="145"/>
      <c r="AM722" s="145"/>
      <c r="AN722" s="145"/>
      <c r="AO722" s="145"/>
      <c r="AP722" s="145"/>
      <c r="AQ722" s="145"/>
    </row>
    <row r="723" spans="1:43">
      <c r="A723" s="145"/>
      <c r="B723" s="145"/>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c r="AA723" s="145"/>
      <c r="AB723" s="145"/>
      <c r="AC723" s="145"/>
      <c r="AD723" s="145"/>
      <c r="AE723" s="145"/>
      <c r="AF723" s="145"/>
      <c r="AG723" s="145"/>
      <c r="AH723" s="145"/>
      <c r="AI723" s="145"/>
      <c r="AJ723" s="145"/>
      <c r="AK723" s="145"/>
      <c r="AL723" s="145"/>
      <c r="AM723" s="145"/>
      <c r="AN723" s="145"/>
      <c r="AO723" s="145"/>
      <c r="AP723" s="145"/>
      <c r="AQ723" s="145"/>
    </row>
    <row r="724" spans="1:43">
      <c r="A724" s="145"/>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c r="AA724" s="145"/>
      <c r="AB724" s="145"/>
      <c r="AC724" s="145"/>
      <c r="AD724" s="145"/>
      <c r="AE724" s="145"/>
      <c r="AF724" s="145"/>
      <c r="AG724" s="145"/>
      <c r="AH724" s="145"/>
      <c r="AI724" s="145"/>
      <c r="AJ724" s="145"/>
      <c r="AK724" s="145"/>
      <c r="AL724" s="145"/>
      <c r="AM724" s="145"/>
      <c r="AN724" s="145"/>
      <c r="AO724" s="145"/>
      <c r="AP724" s="145"/>
      <c r="AQ724" s="145"/>
    </row>
    <row r="725" spans="1:43">
      <c r="A725" s="145"/>
      <c r="B725" s="145"/>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c r="AA725" s="145"/>
      <c r="AB725" s="145"/>
      <c r="AC725" s="145"/>
      <c r="AD725" s="145"/>
      <c r="AE725" s="145"/>
      <c r="AF725" s="145"/>
      <c r="AG725" s="145"/>
      <c r="AH725" s="145"/>
      <c r="AI725" s="145"/>
      <c r="AJ725" s="145"/>
      <c r="AK725" s="145"/>
      <c r="AL725" s="145"/>
      <c r="AM725" s="145"/>
      <c r="AN725" s="145"/>
      <c r="AO725" s="145"/>
      <c r="AP725" s="145"/>
      <c r="AQ725" s="145"/>
    </row>
    <row r="726" spans="1:43">
      <c r="A726" s="145"/>
      <c r="B726" s="145"/>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c r="AA726" s="145"/>
      <c r="AB726" s="145"/>
      <c r="AC726" s="145"/>
      <c r="AD726" s="145"/>
      <c r="AE726" s="145"/>
      <c r="AF726" s="145"/>
      <c r="AG726" s="145"/>
      <c r="AH726" s="145"/>
      <c r="AI726" s="145"/>
      <c r="AJ726" s="145"/>
      <c r="AK726" s="145"/>
      <c r="AL726" s="145"/>
      <c r="AM726" s="145"/>
      <c r="AN726" s="145"/>
      <c r="AO726" s="145"/>
      <c r="AP726" s="145"/>
      <c r="AQ726" s="145"/>
    </row>
    <row r="727" spans="1:43">
      <c r="A727" s="145"/>
      <c r="B727" s="145"/>
      <c r="C727" s="145"/>
      <c r="D727" s="145"/>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c r="AA727" s="145"/>
      <c r="AB727" s="145"/>
      <c r="AC727" s="145"/>
      <c r="AD727" s="145"/>
      <c r="AE727" s="145"/>
      <c r="AF727" s="145"/>
      <c r="AG727" s="145"/>
      <c r="AH727" s="145"/>
      <c r="AI727" s="145"/>
      <c r="AJ727" s="145"/>
      <c r="AK727" s="145"/>
      <c r="AL727" s="145"/>
      <c r="AM727" s="145"/>
      <c r="AN727" s="145"/>
      <c r="AO727" s="145"/>
      <c r="AP727" s="145"/>
      <c r="AQ727" s="145"/>
    </row>
    <row r="728" spans="1:43">
      <c r="A728" s="145"/>
      <c r="B728" s="145"/>
      <c r="C728" s="145"/>
      <c r="D728" s="145"/>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c r="AA728" s="145"/>
      <c r="AB728" s="145"/>
      <c r="AC728" s="145"/>
      <c r="AD728" s="145"/>
      <c r="AE728" s="145"/>
      <c r="AF728" s="145"/>
      <c r="AG728" s="145"/>
      <c r="AH728" s="145"/>
      <c r="AI728" s="145"/>
      <c r="AJ728" s="145"/>
      <c r="AK728" s="145"/>
      <c r="AL728" s="145"/>
      <c r="AM728" s="145"/>
      <c r="AN728" s="145"/>
      <c r="AO728" s="145"/>
      <c r="AP728" s="145"/>
      <c r="AQ728" s="145"/>
    </row>
    <row r="729" spans="1:43">
      <c r="A729" s="145"/>
      <c r="B729" s="145"/>
      <c r="C729" s="145"/>
      <c r="D729" s="145"/>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c r="AA729" s="145"/>
      <c r="AB729" s="145"/>
      <c r="AC729" s="145"/>
      <c r="AD729" s="145"/>
      <c r="AE729" s="145"/>
      <c r="AF729" s="145"/>
      <c r="AG729" s="145"/>
      <c r="AH729" s="145"/>
      <c r="AI729" s="145"/>
      <c r="AJ729" s="145"/>
      <c r="AK729" s="145"/>
      <c r="AL729" s="145"/>
      <c r="AM729" s="145"/>
      <c r="AN729" s="145"/>
      <c r="AO729" s="145"/>
      <c r="AP729" s="145"/>
      <c r="AQ729" s="145"/>
    </row>
    <row r="730" spans="1:43">
      <c r="A730" s="145"/>
      <c r="B730" s="145"/>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c r="AA730" s="145"/>
      <c r="AB730" s="145"/>
      <c r="AC730" s="145"/>
      <c r="AD730" s="145"/>
      <c r="AE730" s="145"/>
      <c r="AF730" s="145"/>
      <c r="AG730" s="145"/>
      <c r="AH730" s="145"/>
      <c r="AI730" s="145"/>
      <c r="AJ730" s="145"/>
      <c r="AK730" s="145"/>
      <c r="AL730" s="145"/>
      <c r="AM730" s="145"/>
      <c r="AN730" s="145"/>
      <c r="AO730" s="145"/>
      <c r="AP730" s="145"/>
      <c r="AQ730" s="145"/>
    </row>
    <row r="731" spans="1:43">
      <c r="A731" s="145"/>
      <c r="B731" s="145"/>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c r="AA731" s="145"/>
      <c r="AB731" s="145"/>
      <c r="AC731" s="145"/>
      <c r="AD731" s="145"/>
      <c r="AE731" s="145"/>
      <c r="AF731" s="145"/>
      <c r="AG731" s="145"/>
      <c r="AH731" s="145"/>
      <c r="AI731" s="145"/>
      <c r="AJ731" s="145"/>
      <c r="AK731" s="145"/>
      <c r="AL731" s="145"/>
      <c r="AM731" s="145"/>
      <c r="AN731" s="145"/>
      <c r="AO731" s="145"/>
      <c r="AP731" s="145"/>
      <c r="AQ731" s="145"/>
    </row>
    <row r="732" spans="1:43">
      <c r="A732" s="145"/>
      <c r="B732" s="145"/>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c r="AA732" s="145"/>
      <c r="AB732" s="145"/>
      <c r="AC732" s="145"/>
      <c r="AD732" s="145"/>
      <c r="AE732" s="145"/>
      <c r="AF732" s="145"/>
      <c r="AG732" s="145"/>
      <c r="AH732" s="145"/>
      <c r="AI732" s="145"/>
      <c r="AJ732" s="145"/>
      <c r="AK732" s="145"/>
      <c r="AL732" s="145"/>
      <c r="AM732" s="145"/>
      <c r="AN732" s="145"/>
      <c r="AO732" s="145"/>
      <c r="AP732" s="145"/>
      <c r="AQ732" s="145"/>
    </row>
    <row r="733" spans="1:43">
      <c r="A733" s="145"/>
      <c r="B733" s="145"/>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c r="AA733" s="145"/>
      <c r="AB733" s="145"/>
      <c r="AC733" s="145"/>
      <c r="AD733" s="145"/>
      <c r="AE733" s="145"/>
      <c r="AF733" s="145"/>
      <c r="AG733" s="145"/>
      <c r="AH733" s="145"/>
      <c r="AI733" s="145"/>
      <c r="AJ733" s="145"/>
      <c r="AK733" s="145"/>
      <c r="AL733" s="145"/>
      <c r="AM733" s="145"/>
      <c r="AN733" s="145"/>
      <c r="AO733" s="145"/>
      <c r="AP733" s="145"/>
      <c r="AQ733" s="145"/>
    </row>
    <row r="734" spans="1:43">
      <c r="A734" s="145"/>
      <c r="B734" s="145"/>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c r="AA734" s="145"/>
      <c r="AB734" s="145"/>
      <c r="AC734" s="145"/>
      <c r="AD734" s="145"/>
      <c r="AE734" s="145"/>
      <c r="AF734" s="145"/>
      <c r="AG734" s="145"/>
      <c r="AH734" s="145"/>
      <c r="AI734" s="145"/>
      <c r="AJ734" s="145"/>
      <c r="AK734" s="145"/>
      <c r="AL734" s="145"/>
      <c r="AM734" s="145"/>
      <c r="AN734" s="145"/>
      <c r="AO734" s="145"/>
      <c r="AP734" s="145"/>
      <c r="AQ734" s="145"/>
    </row>
    <row r="735" spans="1:43">
      <c r="A735" s="145"/>
      <c r="B735" s="145"/>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c r="AA735" s="145"/>
      <c r="AB735" s="145"/>
      <c r="AC735" s="145"/>
      <c r="AD735" s="145"/>
      <c r="AE735" s="145"/>
      <c r="AF735" s="145"/>
      <c r="AG735" s="145"/>
      <c r="AH735" s="145"/>
      <c r="AI735" s="145"/>
      <c r="AJ735" s="145"/>
      <c r="AK735" s="145"/>
      <c r="AL735" s="145"/>
      <c r="AM735" s="145"/>
      <c r="AN735" s="145"/>
      <c r="AO735" s="145"/>
      <c r="AP735" s="145"/>
      <c r="AQ735" s="145"/>
    </row>
    <row r="736" spans="1:43">
      <c r="A736" s="145"/>
      <c r="B736" s="145"/>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c r="AA736" s="145"/>
      <c r="AB736" s="145"/>
      <c r="AC736" s="145"/>
      <c r="AD736" s="145"/>
      <c r="AE736" s="145"/>
      <c r="AF736" s="145"/>
      <c r="AG736" s="145"/>
      <c r="AH736" s="145"/>
      <c r="AI736" s="145"/>
      <c r="AJ736" s="145"/>
      <c r="AK736" s="145"/>
      <c r="AL736" s="145"/>
      <c r="AM736" s="145"/>
      <c r="AN736" s="145"/>
      <c r="AO736" s="145"/>
      <c r="AP736" s="145"/>
      <c r="AQ736" s="145"/>
    </row>
    <row r="737" spans="1:43">
      <c r="A737" s="145"/>
      <c r="B737" s="145"/>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c r="AA737" s="145"/>
      <c r="AB737" s="145"/>
      <c r="AC737" s="145"/>
      <c r="AD737" s="145"/>
      <c r="AE737" s="145"/>
      <c r="AF737" s="145"/>
      <c r="AG737" s="145"/>
      <c r="AH737" s="145"/>
      <c r="AI737" s="145"/>
      <c r="AJ737" s="145"/>
      <c r="AK737" s="145"/>
      <c r="AL737" s="145"/>
      <c r="AM737" s="145"/>
      <c r="AN737" s="145"/>
      <c r="AO737" s="145"/>
      <c r="AP737" s="145"/>
      <c r="AQ737" s="145"/>
    </row>
    <row r="738" spans="1:43">
      <c r="A738" s="145"/>
      <c r="B738" s="145"/>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c r="AA738" s="145"/>
      <c r="AB738" s="145"/>
      <c r="AC738" s="145"/>
      <c r="AD738" s="145"/>
      <c r="AE738" s="145"/>
      <c r="AF738" s="145"/>
      <c r="AG738" s="145"/>
      <c r="AH738" s="145"/>
      <c r="AI738" s="145"/>
      <c r="AJ738" s="145"/>
      <c r="AK738" s="145"/>
      <c r="AL738" s="145"/>
      <c r="AM738" s="145"/>
      <c r="AN738" s="145"/>
      <c r="AO738" s="145"/>
      <c r="AP738" s="145"/>
      <c r="AQ738" s="145"/>
    </row>
    <row r="739" spans="1:43">
      <c r="A739" s="145"/>
      <c r="B739" s="145"/>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c r="AA739" s="145"/>
      <c r="AB739" s="145"/>
      <c r="AC739" s="145"/>
      <c r="AD739" s="145"/>
      <c r="AE739" s="145"/>
      <c r="AF739" s="145"/>
      <c r="AG739" s="145"/>
      <c r="AH739" s="145"/>
      <c r="AI739" s="145"/>
      <c r="AJ739" s="145"/>
      <c r="AK739" s="145"/>
      <c r="AL739" s="145"/>
      <c r="AM739" s="145"/>
      <c r="AN739" s="145"/>
      <c r="AO739" s="145"/>
      <c r="AP739" s="145"/>
      <c r="AQ739" s="145"/>
    </row>
    <row r="740" spans="1:43">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c r="AA740" s="145"/>
      <c r="AB740" s="145"/>
      <c r="AC740" s="145"/>
      <c r="AD740" s="145"/>
      <c r="AE740" s="145"/>
      <c r="AF740" s="145"/>
      <c r="AG740" s="145"/>
      <c r="AH740" s="145"/>
      <c r="AI740" s="145"/>
      <c r="AJ740" s="145"/>
      <c r="AK740" s="145"/>
      <c r="AL740" s="145"/>
      <c r="AM740" s="145"/>
      <c r="AN740" s="145"/>
      <c r="AO740" s="145"/>
      <c r="AP740" s="145"/>
      <c r="AQ740" s="145"/>
    </row>
    <row r="741" spans="1:43">
      <c r="A741" s="145"/>
      <c r="B741" s="145"/>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c r="AA741" s="145"/>
      <c r="AB741" s="145"/>
      <c r="AC741" s="145"/>
      <c r="AD741" s="145"/>
      <c r="AE741" s="145"/>
      <c r="AF741" s="145"/>
      <c r="AG741" s="145"/>
      <c r="AH741" s="145"/>
      <c r="AI741" s="145"/>
      <c r="AJ741" s="145"/>
      <c r="AK741" s="145"/>
      <c r="AL741" s="145"/>
      <c r="AM741" s="145"/>
      <c r="AN741" s="145"/>
      <c r="AO741" s="145"/>
      <c r="AP741" s="145"/>
      <c r="AQ741" s="145"/>
    </row>
    <row r="742" spans="1:43">
      <c r="A742" s="145"/>
      <c r="B742" s="145"/>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c r="AA742" s="145"/>
      <c r="AB742" s="145"/>
      <c r="AC742" s="145"/>
      <c r="AD742" s="145"/>
      <c r="AE742" s="145"/>
      <c r="AF742" s="145"/>
      <c r="AG742" s="145"/>
      <c r="AH742" s="145"/>
      <c r="AI742" s="145"/>
      <c r="AJ742" s="145"/>
      <c r="AK742" s="145"/>
      <c r="AL742" s="145"/>
      <c r="AM742" s="145"/>
      <c r="AN742" s="145"/>
      <c r="AO742" s="145"/>
      <c r="AP742" s="145"/>
      <c r="AQ742" s="145"/>
    </row>
    <row r="743" spans="1:43">
      <c r="A743" s="145"/>
      <c r="B743" s="145"/>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c r="AA743" s="145"/>
      <c r="AB743" s="145"/>
      <c r="AC743" s="145"/>
      <c r="AD743" s="145"/>
      <c r="AE743" s="145"/>
      <c r="AF743" s="145"/>
      <c r="AG743" s="145"/>
      <c r="AH743" s="145"/>
      <c r="AI743" s="145"/>
      <c r="AJ743" s="145"/>
      <c r="AK743" s="145"/>
      <c r="AL743" s="145"/>
      <c r="AM743" s="145"/>
      <c r="AN743" s="145"/>
      <c r="AO743" s="145"/>
      <c r="AP743" s="145"/>
      <c r="AQ743" s="145"/>
    </row>
    <row r="744" spans="1:43">
      <c r="A744" s="145"/>
      <c r="B744" s="145"/>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c r="AA744" s="145"/>
      <c r="AB744" s="145"/>
      <c r="AC744" s="145"/>
      <c r="AD744" s="145"/>
      <c r="AE744" s="145"/>
      <c r="AF744" s="145"/>
      <c r="AG744" s="145"/>
      <c r="AH744" s="145"/>
      <c r="AI744" s="145"/>
      <c r="AJ744" s="145"/>
      <c r="AK744" s="145"/>
      <c r="AL744" s="145"/>
      <c r="AM744" s="145"/>
      <c r="AN744" s="145"/>
      <c r="AO744" s="145"/>
      <c r="AP744" s="145"/>
      <c r="AQ744" s="145"/>
    </row>
    <row r="745" spans="1:43">
      <c r="A745" s="145"/>
      <c r="B745" s="145"/>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c r="AA745" s="145"/>
      <c r="AB745" s="145"/>
      <c r="AC745" s="145"/>
      <c r="AD745" s="145"/>
      <c r="AE745" s="145"/>
      <c r="AF745" s="145"/>
      <c r="AG745" s="145"/>
      <c r="AH745" s="145"/>
      <c r="AI745" s="145"/>
      <c r="AJ745" s="145"/>
      <c r="AK745" s="145"/>
      <c r="AL745" s="145"/>
      <c r="AM745" s="145"/>
      <c r="AN745" s="145"/>
      <c r="AO745" s="145"/>
      <c r="AP745" s="145"/>
      <c r="AQ745" s="145"/>
    </row>
    <row r="746" spans="1:43">
      <c r="A746" s="145"/>
      <c r="B746" s="145"/>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c r="AA746" s="145"/>
      <c r="AB746" s="145"/>
      <c r="AC746" s="145"/>
      <c r="AD746" s="145"/>
      <c r="AE746" s="145"/>
      <c r="AF746" s="145"/>
      <c r="AG746" s="145"/>
      <c r="AH746" s="145"/>
      <c r="AI746" s="145"/>
      <c r="AJ746" s="145"/>
      <c r="AK746" s="145"/>
      <c r="AL746" s="145"/>
      <c r="AM746" s="145"/>
      <c r="AN746" s="145"/>
      <c r="AO746" s="145"/>
      <c r="AP746" s="145"/>
      <c r="AQ746" s="145"/>
    </row>
    <row r="747" spans="1:43">
      <c r="A747" s="145"/>
      <c r="B747" s="145"/>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c r="AA747" s="145"/>
      <c r="AB747" s="145"/>
      <c r="AC747" s="145"/>
      <c r="AD747" s="145"/>
      <c r="AE747" s="145"/>
      <c r="AF747" s="145"/>
      <c r="AG747" s="145"/>
      <c r="AH747" s="145"/>
      <c r="AI747" s="145"/>
      <c r="AJ747" s="145"/>
      <c r="AK747" s="145"/>
      <c r="AL747" s="145"/>
      <c r="AM747" s="145"/>
      <c r="AN747" s="145"/>
      <c r="AO747" s="145"/>
      <c r="AP747" s="145"/>
      <c r="AQ747" s="145"/>
    </row>
    <row r="748" spans="1:43">
      <c r="A748" s="145"/>
      <c r="B748" s="145"/>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c r="AA748" s="145"/>
      <c r="AB748" s="145"/>
      <c r="AC748" s="145"/>
      <c r="AD748" s="145"/>
      <c r="AE748" s="145"/>
      <c r="AF748" s="145"/>
      <c r="AG748" s="145"/>
      <c r="AH748" s="145"/>
      <c r="AI748" s="145"/>
      <c r="AJ748" s="145"/>
      <c r="AK748" s="145"/>
      <c r="AL748" s="145"/>
      <c r="AM748" s="145"/>
      <c r="AN748" s="145"/>
      <c r="AO748" s="145"/>
      <c r="AP748" s="145"/>
      <c r="AQ748" s="145"/>
    </row>
    <row r="749" spans="1:43">
      <c r="A749" s="145"/>
      <c r="B749" s="145"/>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c r="AA749" s="145"/>
      <c r="AB749" s="145"/>
      <c r="AC749" s="145"/>
      <c r="AD749" s="145"/>
      <c r="AE749" s="145"/>
      <c r="AF749" s="145"/>
      <c r="AG749" s="145"/>
      <c r="AH749" s="145"/>
      <c r="AI749" s="145"/>
      <c r="AJ749" s="145"/>
      <c r="AK749" s="145"/>
      <c r="AL749" s="145"/>
      <c r="AM749" s="145"/>
      <c r="AN749" s="145"/>
      <c r="AO749" s="145"/>
      <c r="AP749" s="145"/>
      <c r="AQ749" s="145"/>
    </row>
    <row r="750" spans="1:43">
      <c r="A750" s="145"/>
      <c r="B750" s="145"/>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c r="AA750" s="145"/>
      <c r="AB750" s="145"/>
      <c r="AC750" s="145"/>
      <c r="AD750" s="145"/>
      <c r="AE750" s="145"/>
      <c r="AF750" s="145"/>
      <c r="AG750" s="145"/>
      <c r="AH750" s="145"/>
      <c r="AI750" s="145"/>
      <c r="AJ750" s="145"/>
      <c r="AK750" s="145"/>
      <c r="AL750" s="145"/>
      <c r="AM750" s="145"/>
      <c r="AN750" s="145"/>
      <c r="AO750" s="145"/>
      <c r="AP750" s="145"/>
      <c r="AQ750" s="145"/>
    </row>
    <row r="751" spans="1:43">
      <c r="A751" s="145"/>
      <c r="B751" s="145"/>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c r="AA751" s="145"/>
      <c r="AB751" s="145"/>
      <c r="AC751" s="145"/>
      <c r="AD751" s="145"/>
      <c r="AE751" s="145"/>
      <c r="AF751" s="145"/>
      <c r="AG751" s="145"/>
      <c r="AH751" s="145"/>
      <c r="AI751" s="145"/>
      <c r="AJ751" s="145"/>
      <c r="AK751" s="145"/>
      <c r="AL751" s="145"/>
      <c r="AM751" s="145"/>
      <c r="AN751" s="145"/>
      <c r="AO751" s="145"/>
      <c r="AP751" s="145"/>
      <c r="AQ751" s="145"/>
    </row>
    <row r="752" spans="1:43">
      <c r="A752" s="145"/>
      <c r="B752" s="145"/>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c r="AA752" s="145"/>
      <c r="AB752" s="145"/>
      <c r="AC752" s="145"/>
      <c r="AD752" s="145"/>
      <c r="AE752" s="145"/>
      <c r="AF752" s="145"/>
      <c r="AG752" s="145"/>
      <c r="AH752" s="145"/>
      <c r="AI752" s="145"/>
      <c r="AJ752" s="145"/>
      <c r="AK752" s="145"/>
      <c r="AL752" s="145"/>
      <c r="AM752" s="145"/>
      <c r="AN752" s="145"/>
      <c r="AO752" s="145"/>
      <c r="AP752" s="145"/>
      <c r="AQ752" s="145"/>
    </row>
    <row r="753" spans="1:43">
      <c r="A753" s="145"/>
      <c r="B753" s="145"/>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c r="AA753" s="145"/>
      <c r="AB753" s="145"/>
      <c r="AC753" s="145"/>
      <c r="AD753" s="145"/>
      <c r="AE753" s="145"/>
      <c r="AF753" s="145"/>
      <c r="AG753" s="145"/>
      <c r="AH753" s="145"/>
      <c r="AI753" s="145"/>
      <c r="AJ753" s="145"/>
      <c r="AK753" s="145"/>
      <c r="AL753" s="145"/>
      <c r="AM753" s="145"/>
      <c r="AN753" s="145"/>
      <c r="AO753" s="145"/>
      <c r="AP753" s="145"/>
      <c r="AQ753" s="145"/>
    </row>
    <row r="754" spans="1:43">
      <c r="A754" s="145"/>
      <c r="B754" s="145"/>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c r="AA754" s="145"/>
      <c r="AB754" s="145"/>
      <c r="AC754" s="145"/>
      <c r="AD754" s="145"/>
      <c r="AE754" s="145"/>
      <c r="AF754" s="145"/>
      <c r="AG754" s="145"/>
      <c r="AH754" s="145"/>
      <c r="AI754" s="145"/>
      <c r="AJ754" s="145"/>
      <c r="AK754" s="145"/>
      <c r="AL754" s="145"/>
      <c r="AM754" s="145"/>
      <c r="AN754" s="145"/>
      <c r="AO754" s="145"/>
      <c r="AP754" s="145"/>
      <c r="AQ754" s="145"/>
    </row>
    <row r="755" spans="1:43">
      <c r="A755" s="145"/>
      <c r="B755" s="145"/>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c r="AA755" s="145"/>
      <c r="AB755" s="145"/>
      <c r="AC755" s="145"/>
      <c r="AD755" s="145"/>
      <c r="AE755" s="145"/>
      <c r="AF755" s="145"/>
      <c r="AG755" s="145"/>
      <c r="AH755" s="145"/>
      <c r="AI755" s="145"/>
      <c r="AJ755" s="145"/>
      <c r="AK755" s="145"/>
      <c r="AL755" s="145"/>
      <c r="AM755" s="145"/>
      <c r="AN755" s="145"/>
      <c r="AO755" s="145"/>
      <c r="AP755" s="145"/>
      <c r="AQ755" s="145"/>
    </row>
    <row r="756" spans="1:43">
      <c r="A756" s="145"/>
      <c r="B756" s="145"/>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c r="AA756" s="145"/>
      <c r="AB756" s="145"/>
      <c r="AC756" s="145"/>
      <c r="AD756" s="145"/>
      <c r="AE756" s="145"/>
      <c r="AF756" s="145"/>
      <c r="AG756" s="145"/>
      <c r="AH756" s="145"/>
      <c r="AI756" s="145"/>
      <c r="AJ756" s="145"/>
      <c r="AK756" s="145"/>
      <c r="AL756" s="145"/>
      <c r="AM756" s="145"/>
      <c r="AN756" s="145"/>
      <c r="AO756" s="145"/>
      <c r="AP756" s="145"/>
      <c r="AQ756" s="145"/>
    </row>
    <row r="757" spans="1:43">
      <c r="A757" s="145"/>
      <c r="B757" s="145"/>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c r="AA757" s="145"/>
      <c r="AB757" s="145"/>
      <c r="AC757" s="145"/>
      <c r="AD757" s="145"/>
      <c r="AE757" s="145"/>
      <c r="AF757" s="145"/>
      <c r="AG757" s="145"/>
      <c r="AH757" s="145"/>
      <c r="AI757" s="145"/>
      <c r="AJ757" s="145"/>
      <c r="AK757" s="145"/>
      <c r="AL757" s="145"/>
      <c r="AM757" s="145"/>
      <c r="AN757" s="145"/>
      <c r="AO757" s="145"/>
      <c r="AP757" s="145"/>
      <c r="AQ757" s="145"/>
    </row>
    <row r="758" spans="1:43">
      <c r="A758" s="145"/>
      <c r="B758" s="145"/>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c r="AA758" s="145"/>
      <c r="AB758" s="145"/>
      <c r="AC758" s="145"/>
      <c r="AD758" s="145"/>
      <c r="AE758" s="145"/>
      <c r="AF758" s="145"/>
      <c r="AG758" s="145"/>
      <c r="AH758" s="145"/>
      <c r="AI758" s="145"/>
      <c r="AJ758" s="145"/>
      <c r="AK758" s="145"/>
      <c r="AL758" s="145"/>
      <c r="AM758" s="145"/>
      <c r="AN758" s="145"/>
      <c r="AO758" s="145"/>
      <c r="AP758" s="145"/>
      <c r="AQ758" s="145"/>
    </row>
    <row r="759" spans="1:43">
      <c r="A759" s="145"/>
      <c r="B759" s="145"/>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c r="AA759" s="145"/>
      <c r="AB759" s="145"/>
      <c r="AC759" s="145"/>
      <c r="AD759" s="145"/>
      <c r="AE759" s="145"/>
      <c r="AF759" s="145"/>
      <c r="AG759" s="145"/>
      <c r="AH759" s="145"/>
      <c r="AI759" s="145"/>
      <c r="AJ759" s="145"/>
      <c r="AK759" s="145"/>
      <c r="AL759" s="145"/>
      <c r="AM759" s="145"/>
      <c r="AN759" s="145"/>
      <c r="AO759" s="145"/>
      <c r="AP759" s="145"/>
      <c r="AQ759" s="145"/>
    </row>
    <row r="760" spans="1:43">
      <c r="A760" s="145"/>
      <c r="B760" s="145"/>
      <c r="C760" s="145"/>
      <c r="D760" s="145"/>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c r="AA760" s="145"/>
      <c r="AB760" s="145"/>
      <c r="AC760" s="145"/>
      <c r="AD760" s="145"/>
      <c r="AE760" s="145"/>
      <c r="AF760" s="145"/>
      <c r="AG760" s="145"/>
      <c r="AH760" s="145"/>
      <c r="AI760" s="145"/>
      <c r="AJ760" s="145"/>
      <c r="AK760" s="145"/>
      <c r="AL760" s="145"/>
      <c r="AM760" s="145"/>
      <c r="AN760" s="145"/>
      <c r="AO760" s="145"/>
      <c r="AP760" s="145"/>
      <c r="AQ760" s="145"/>
    </row>
    <row r="761" spans="1:43">
      <c r="A761" s="145"/>
      <c r="B761" s="145"/>
      <c r="C761" s="145"/>
      <c r="D761" s="145"/>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c r="AA761" s="145"/>
      <c r="AB761" s="145"/>
      <c r="AC761" s="145"/>
      <c r="AD761" s="145"/>
      <c r="AE761" s="145"/>
      <c r="AF761" s="145"/>
      <c r="AG761" s="145"/>
      <c r="AH761" s="145"/>
      <c r="AI761" s="145"/>
      <c r="AJ761" s="145"/>
      <c r="AK761" s="145"/>
      <c r="AL761" s="145"/>
      <c r="AM761" s="145"/>
      <c r="AN761" s="145"/>
      <c r="AO761" s="145"/>
      <c r="AP761" s="145"/>
      <c r="AQ761" s="145"/>
    </row>
    <row r="762" spans="1:43">
      <c r="A762" s="145"/>
      <c r="B762" s="145"/>
      <c r="C762" s="145"/>
      <c r="D762" s="145"/>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c r="AA762" s="145"/>
      <c r="AB762" s="145"/>
      <c r="AC762" s="145"/>
      <c r="AD762" s="145"/>
      <c r="AE762" s="145"/>
      <c r="AF762" s="145"/>
      <c r="AG762" s="145"/>
      <c r="AH762" s="145"/>
      <c r="AI762" s="145"/>
      <c r="AJ762" s="145"/>
      <c r="AK762" s="145"/>
      <c r="AL762" s="145"/>
      <c r="AM762" s="145"/>
      <c r="AN762" s="145"/>
      <c r="AO762" s="145"/>
      <c r="AP762" s="145"/>
      <c r="AQ762" s="145"/>
    </row>
    <row r="763" spans="1:43">
      <c r="A763" s="145"/>
      <c r="B763" s="145"/>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c r="AA763" s="145"/>
      <c r="AB763" s="145"/>
      <c r="AC763" s="145"/>
      <c r="AD763" s="145"/>
      <c r="AE763" s="145"/>
      <c r="AF763" s="145"/>
      <c r="AG763" s="145"/>
      <c r="AH763" s="145"/>
      <c r="AI763" s="145"/>
      <c r="AJ763" s="145"/>
      <c r="AK763" s="145"/>
      <c r="AL763" s="145"/>
      <c r="AM763" s="145"/>
      <c r="AN763" s="145"/>
      <c r="AO763" s="145"/>
      <c r="AP763" s="145"/>
      <c r="AQ763" s="145"/>
    </row>
    <row r="764" spans="1:43">
      <c r="A764" s="145"/>
      <c r="B764" s="145"/>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c r="AA764" s="145"/>
      <c r="AB764" s="145"/>
      <c r="AC764" s="145"/>
      <c r="AD764" s="145"/>
      <c r="AE764" s="145"/>
      <c r="AF764" s="145"/>
      <c r="AG764" s="145"/>
      <c r="AH764" s="145"/>
      <c r="AI764" s="145"/>
      <c r="AJ764" s="145"/>
      <c r="AK764" s="145"/>
      <c r="AL764" s="145"/>
      <c r="AM764" s="145"/>
      <c r="AN764" s="145"/>
      <c r="AO764" s="145"/>
      <c r="AP764" s="145"/>
      <c r="AQ764" s="145"/>
    </row>
    <row r="765" spans="1:43">
      <c r="A765" s="145"/>
      <c r="B765" s="145"/>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c r="AA765" s="145"/>
      <c r="AB765" s="145"/>
      <c r="AC765" s="145"/>
      <c r="AD765" s="145"/>
      <c r="AE765" s="145"/>
      <c r="AF765" s="145"/>
      <c r="AG765" s="145"/>
      <c r="AH765" s="145"/>
      <c r="AI765" s="145"/>
      <c r="AJ765" s="145"/>
      <c r="AK765" s="145"/>
      <c r="AL765" s="145"/>
      <c r="AM765" s="145"/>
      <c r="AN765" s="145"/>
      <c r="AO765" s="145"/>
      <c r="AP765" s="145"/>
      <c r="AQ765" s="145"/>
    </row>
    <row r="766" spans="1:43">
      <c r="A766" s="145"/>
      <c r="B766" s="145"/>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c r="AA766" s="145"/>
      <c r="AB766" s="145"/>
      <c r="AC766" s="145"/>
      <c r="AD766" s="145"/>
      <c r="AE766" s="145"/>
      <c r="AF766" s="145"/>
      <c r="AG766" s="145"/>
      <c r="AH766" s="145"/>
      <c r="AI766" s="145"/>
      <c r="AJ766" s="145"/>
      <c r="AK766" s="145"/>
      <c r="AL766" s="145"/>
      <c r="AM766" s="145"/>
      <c r="AN766" s="145"/>
      <c r="AO766" s="145"/>
      <c r="AP766" s="145"/>
      <c r="AQ766" s="145"/>
    </row>
    <row r="767" spans="1:43">
      <c r="A767" s="145"/>
      <c r="B767" s="145"/>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c r="AA767" s="145"/>
      <c r="AB767" s="145"/>
      <c r="AC767" s="145"/>
      <c r="AD767" s="145"/>
      <c r="AE767" s="145"/>
      <c r="AF767" s="145"/>
      <c r="AG767" s="145"/>
      <c r="AH767" s="145"/>
      <c r="AI767" s="145"/>
      <c r="AJ767" s="145"/>
      <c r="AK767" s="145"/>
      <c r="AL767" s="145"/>
      <c r="AM767" s="145"/>
      <c r="AN767" s="145"/>
      <c r="AO767" s="145"/>
      <c r="AP767" s="145"/>
      <c r="AQ767" s="145"/>
    </row>
    <row r="768" spans="1:43">
      <c r="A768" s="145"/>
      <c r="B768" s="145"/>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c r="AA768" s="145"/>
      <c r="AB768" s="145"/>
      <c r="AC768" s="145"/>
      <c r="AD768" s="145"/>
      <c r="AE768" s="145"/>
      <c r="AF768" s="145"/>
      <c r="AG768" s="145"/>
      <c r="AH768" s="145"/>
      <c r="AI768" s="145"/>
      <c r="AJ768" s="145"/>
      <c r="AK768" s="145"/>
      <c r="AL768" s="145"/>
      <c r="AM768" s="145"/>
      <c r="AN768" s="145"/>
      <c r="AO768" s="145"/>
      <c r="AP768" s="145"/>
      <c r="AQ768" s="145"/>
    </row>
    <row r="769" spans="1:43">
      <c r="A769" s="145"/>
      <c r="B769" s="145"/>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c r="AA769" s="145"/>
      <c r="AB769" s="145"/>
      <c r="AC769" s="145"/>
      <c r="AD769" s="145"/>
      <c r="AE769" s="145"/>
      <c r="AF769" s="145"/>
      <c r="AG769" s="145"/>
      <c r="AH769" s="145"/>
      <c r="AI769" s="145"/>
      <c r="AJ769" s="145"/>
      <c r="AK769" s="145"/>
      <c r="AL769" s="145"/>
      <c r="AM769" s="145"/>
      <c r="AN769" s="145"/>
      <c r="AO769" s="145"/>
      <c r="AP769" s="145"/>
      <c r="AQ769" s="145"/>
    </row>
    <row r="770" spans="1:43">
      <c r="A770" s="145"/>
      <c r="B770" s="145"/>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c r="AA770" s="145"/>
      <c r="AB770" s="145"/>
      <c r="AC770" s="145"/>
      <c r="AD770" s="145"/>
      <c r="AE770" s="145"/>
      <c r="AF770" s="145"/>
      <c r="AG770" s="145"/>
      <c r="AH770" s="145"/>
      <c r="AI770" s="145"/>
      <c r="AJ770" s="145"/>
      <c r="AK770" s="145"/>
      <c r="AL770" s="145"/>
      <c r="AM770" s="145"/>
      <c r="AN770" s="145"/>
      <c r="AO770" s="145"/>
      <c r="AP770" s="145"/>
      <c r="AQ770" s="145"/>
    </row>
    <row r="771" spans="1:43">
      <c r="AK771" s="145"/>
      <c r="AL771" s="145"/>
      <c r="AM771" s="145"/>
      <c r="AN771" s="145"/>
      <c r="AO771" s="145"/>
      <c r="AP771" s="145"/>
      <c r="AQ771" s="145"/>
    </row>
    <row r="772" spans="1:43">
      <c r="AK772" s="145"/>
      <c r="AL772" s="145"/>
      <c r="AM772" s="145"/>
      <c r="AN772" s="145"/>
      <c r="AO772" s="145"/>
      <c r="AP772" s="145"/>
      <c r="AQ772" s="145"/>
    </row>
    <row r="773" spans="1:43">
      <c r="AK773" s="145"/>
      <c r="AL773" s="145"/>
      <c r="AM773" s="145"/>
      <c r="AN773" s="145"/>
      <c r="AO773" s="145"/>
      <c r="AP773" s="145"/>
      <c r="AQ773" s="145"/>
    </row>
    <row r="774" spans="1:43">
      <c r="AK774" s="145"/>
      <c r="AL774" s="145"/>
      <c r="AM774" s="145"/>
      <c r="AN774" s="145"/>
      <c r="AO774" s="145"/>
      <c r="AP774" s="145"/>
      <c r="AQ774" s="145"/>
    </row>
    <row r="775" spans="1:43">
      <c r="AK775" s="145"/>
      <c r="AL775" s="145"/>
      <c r="AM775" s="145"/>
      <c r="AN775" s="145"/>
      <c r="AO775" s="145"/>
      <c r="AP775" s="145"/>
      <c r="AQ775" s="145"/>
    </row>
    <row r="776" spans="1:43">
      <c r="AK776" s="145"/>
      <c r="AL776" s="145"/>
      <c r="AM776" s="145"/>
      <c r="AN776" s="145"/>
      <c r="AO776" s="145"/>
      <c r="AP776" s="145"/>
      <c r="AQ776" s="145"/>
    </row>
    <row r="777" spans="1:43">
      <c r="AK777" s="145"/>
      <c r="AL777" s="145"/>
      <c r="AM777" s="145"/>
      <c r="AN777" s="145"/>
      <c r="AO777" s="145"/>
      <c r="AP777" s="145"/>
      <c r="AQ777" s="145"/>
    </row>
    <row r="778" spans="1:43">
      <c r="AK778" s="145"/>
      <c r="AL778" s="145"/>
      <c r="AM778" s="145"/>
      <c r="AN778" s="145"/>
      <c r="AO778" s="145"/>
      <c r="AP778" s="145"/>
      <c r="AQ778" s="145"/>
    </row>
    <row r="779" spans="1:43">
      <c r="AK779" s="145"/>
      <c r="AL779" s="145"/>
      <c r="AM779" s="145"/>
      <c r="AN779" s="145"/>
      <c r="AO779" s="145"/>
      <c r="AP779" s="145"/>
      <c r="AQ779" s="145"/>
    </row>
    <row r="780" spans="1:43">
      <c r="AK780" s="145"/>
      <c r="AL780" s="145"/>
      <c r="AM780" s="145"/>
      <c r="AN780" s="145"/>
      <c r="AO780" s="145"/>
      <c r="AP780" s="145"/>
      <c r="AQ780" s="145"/>
    </row>
    <row r="781" spans="1:43">
      <c r="AK781" s="145"/>
      <c r="AL781" s="145"/>
      <c r="AM781" s="145"/>
      <c r="AN781" s="145"/>
      <c r="AO781" s="145"/>
      <c r="AP781" s="145"/>
      <c r="AQ781" s="145"/>
    </row>
    <row r="782" spans="1:43">
      <c r="AK782" s="145"/>
      <c r="AL782" s="145"/>
      <c r="AM782" s="145"/>
      <c r="AN782" s="145"/>
      <c r="AO782" s="145"/>
      <c r="AP782" s="145"/>
      <c r="AQ782" s="145"/>
    </row>
    <row r="783" spans="1:43">
      <c r="AK783" s="145"/>
      <c r="AL783" s="145"/>
      <c r="AM783" s="145"/>
      <c r="AN783" s="145"/>
      <c r="AO783" s="145"/>
      <c r="AP783" s="145"/>
      <c r="AQ783" s="145"/>
    </row>
    <row r="784" spans="1:43">
      <c r="AK784" s="145"/>
      <c r="AL784" s="145"/>
      <c r="AM784" s="145"/>
      <c r="AN784" s="145"/>
      <c r="AO784" s="145"/>
      <c r="AP784" s="145"/>
      <c r="AQ784" s="145"/>
    </row>
    <row r="785" spans="37:43">
      <c r="AK785" s="145"/>
      <c r="AL785" s="145"/>
      <c r="AM785" s="145"/>
      <c r="AN785" s="145"/>
      <c r="AO785" s="145"/>
      <c r="AP785" s="145"/>
      <c r="AQ785" s="145"/>
    </row>
    <row r="786" spans="37:43">
      <c r="AK786" s="145"/>
      <c r="AL786" s="145"/>
      <c r="AM786" s="145"/>
      <c r="AN786" s="145"/>
      <c r="AO786" s="145"/>
      <c r="AP786" s="145"/>
      <c r="AQ786" s="145"/>
    </row>
    <row r="787" spans="37:43">
      <c r="AK787" s="145"/>
      <c r="AL787" s="145"/>
      <c r="AM787" s="145"/>
      <c r="AN787" s="145"/>
      <c r="AO787" s="145"/>
      <c r="AP787" s="145"/>
      <c r="AQ787" s="145"/>
    </row>
    <row r="788" spans="37:43">
      <c r="AK788" s="145"/>
      <c r="AL788" s="145"/>
      <c r="AM788" s="145"/>
      <c r="AN788" s="145"/>
      <c r="AO788" s="145"/>
      <c r="AP788" s="145"/>
      <c r="AQ788" s="145"/>
    </row>
    <row r="789" spans="37:43">
      <c r="AK789" s="145"/>
      <c r="AL789" s="145"/>
      <c r="AM789" s="145"/>
      <c r="AN789" s="145"/>
      <c r="AO789" s="145"/>
      <c r="AP789" s="145"/>
      <c r="AQ789" s="145"/>
    </row>
    <row r="790" spans="37:43">
      <c r="AK790" s="145"/>
      <c r="AL790" s="145"/>
      <c r="AM790" s="145"/>
      <c r="AN790" s="145"/>
      <c r="AO790" s="145"/>
      <c r="AP790" s="145"/>
      <c r="AQ790" s="145"/>
    </row>
    <row r="791" spans="37:43">
      <c r="AK791" s="145"/>
      <c r="AL791" s="145"/>
      <c r="AM791" s="145"/>
      <c r="AN791" s="145"/>
      <c r="AO791" s="145"/>
      <c r="AP791" s="145"/>
      <c r="AQ791" s="145"/>
    </row>
    <row r="792" spans="37:43">
      <c r="AK792" s="145"/>
      <c r="AL792" s="145"/>
      <c r="AM792" s="145"/>
      <c r="AN792" s="145"/>
      <c r="AO792" s="145"/>
      <c r="AP792" s="145"/>
      <c r="AQ792" s="145"/>
    </row>
    <row r="793" spans="37:43">
      <c r="AK793" s="145"/>
      <c r="AL793" s="145"/>
      <c r="AM793" s="145"/>
      <c r="AN793" s="145"/>
      <c r="AO793" s="145"/>
      <c r="AP793" s="145"/>
      <c r="AQ793" s="145"/>
    </row>
    <row r="794" spans="37:43">
      <c r="AK794" s="145"/>
      <c r="AL794" s="145"/>
      <c r="AM794" s="145"/>
      <c r="AN794" s="145"/>
      <c r="AO794" s="145"/>
      <c r="AP794" s="145"/>
      <c r="AQ794" s="145"/>
    </row>
    <row r="795" spans="37:43">
      <c r="AK795" s="145"/>
      <c r="AL795" s="145"/>
      <c r="AM795" s="145"/>
      <c r="AN795" s="145"/>
      <c r="AO795" s="145"/>
      <c r="AP795" s="145"/>
      <c r="AQ795" s="145"/>
    </row>
    <row r="796" spans="37:43">
      <c r="AK796" s="145"/>
      <c r="AL796" s="145"/>
      <c r="AM796" s="145"/>
      <c r="AN796" s="145"/>
      <c r="AO796" s="145"/>
      <c r="AP796" s="145"/>
      <c r="AQ796" s="145"/>
    </row>
    <row r="797" spans="37:43">
      <c r="AK797" s="145"/>
      <c r="AL797" s="145"/>
      <c r="AM797" s="145"/>
      <c r="AN797" s="145"/>
      <c r="AO797" s="145"/>
      <c r="AP797" s="145"/>
      <c r="AQ797" s="145"/>
    </row>
    <row r="798" spans="37:43">
      <c r="AK798" s="145"/>
      <c r="AL798" s="145"/>
      <c r="AM798" s="145"/>
      <c r="AN798" s="145"/>
      <c r="AO798" s="145"/>
      <c r="AP798" s="145"/>
      <c r="AQ798" s="145"/>
    </row>
    <row r="799" spans="37:43">
      <c r="AK799" s="145"/>
      <c r="AL799" s="145"/>
      <c r="AM799" s="145"/>
      <c r="AN799" s="145"/>
      <c r="AO799" s="145"/>
      <c r="AP799" s="145"/>
      <c r="AQ799" s="145"/>
    </row>
    <row r="800" spans="37:43">
      <c r="AK800" s="145"/>
      <c r="AL800" s="145"/>
      <c r="AM800" s="145"/>
      <c r="AN800" s="145"/>
      <c r="AO800" s="145"/>
      <c r="AP800" s="145"/>
      <c r="AQ800" s="145"/>
    </row>
    <row r="801" spans="37:43">
      <c r="AK801" s="145"/>
      <c r="AL801" s="145"/>
      <c r="AM801" s="145"/>
      <c r="AN801" s="145"/>
      <c r="AO801" s="145"/>
      <c r="AP801" s="145"/>
      <c r="AQ801" s="145"/>
    </row>
    <row r="802" spans="37:43">
      <c r="AK802" s="145"/>
      <c r="AL802" s="145"/>
      <c r="AM802" s="145"/>
      <c r="AN802" s="145"/>
      <c r="AO802" s="145"/>
      <c r="AP802" s="145"/>
      <c r="AQ802" s="145"/>
    </row>
    <row r="803" spans="37:43">
      <c r="AK803" s="145"/>
      <c r="AL803" s="145"/>
      <c r="AM803" s="145"/>
      <c r="AN803" s="145"/>
      <c r="AO803" s="145"/>
      <c r="AP803" s="145"/>
      <c r="AQ803" s="145"/>
    </row>
    <row r="804" spans="37:43">
      <c r="AK804" s="145"/>
      <c r="AL804" s="145"/>
      <c r="AM804" s="145"/>
      <c r="AN804" s="145"/>
      <c r="AO804" s="145"/>
      <c r="AP804" s="145"/>
      <c r="AQ804" s="145"/>
    </row>
    <row r="805" spans="37:43">
      <c r="AK805" s="145"/>
      <c r="AL805" s="145"/>
      <c r="AM805" s="145"/>
      <c r="AN805" s="145"/>
      <c r="AO805" s="145"/>
      <c r="AP805" s="145"/>
      <c r="AQ805" s="145"/>
    </row>
    <row r="806" spans="37:43">
      <c r="AK806" s="145"/>
      <c r="AL806" s="145"/>
      <c r="AM806" s="145"/>
      <c r="AN806" s="145"/>
      <c r="AO806" s="145"/>
      <c r="AP806" s="145"/>
      <c r="AQ806" s="145"/>
    </row>
    <row r="807" spans="37:43">
      <c r="AK807" s="145"/>
      <c r="AL807" s="145"/>
      <c r="AM807" s="145"/>
      <c r="AN807" s="145"/>
      <c r="AO807" s="145"/>
      <c r="AP807" s="145"/>
      <c r="AQ807" s="145"/>
    </row>
    <row r="808" spans="37:43">
      <c r="AK808" s="145"/>
      <c r="AL808" s="145"/>
      <c r="AM808" s="145"/>
      <c r="AN808" s="145"/>
      <c r="AO808" s="145"/>
      <c r="AP808" s="145"/>
      <c r="AQ808" s="145"/>
    </row>
    <row r="809" spans="37:43">
      <c r="AK809" s="145"/>
      <c r="AL809" s="145"/>
      <c r="AM809" s="145"/>
      <c r="AN809" s="145"/>
      <c r="AO809" s="145"/>
      <c r="AP809" s="145"/>
      <c r="AQ809" s="145"/>
    </row>
    <row r="810" spans="37:43">
      <c r="AK810" s="145"/>
      <c r="AL810" s="145"/>
      <c r="AM810" s="145"/>
      <c r="AN810" s="145"/>
      <c r="AO810" s="145"/>
      <c r="AP810" s="145"/>
      <c r="AQ810" s="145"/>
    </row>
    <row r="811" spans="37:43">
      <c r="AK811" s="145"/>
      <c r="AL811" s="145"/>
      <c r="AM811" s="145"/>
      <c r="AN811" s="145"/>
      <c r="AO811" s="145"/>
      <c r="AP811" s="145"/>
      <c r="AQ811" s="145"/>
    </row>
    <row r="812" spans="37:43">
      <c r="AK812" s="145"/>
      <c r="AL812" s="145"/>
      <c r="AM812" s="145"/>
      <c r="AN812" s="145"/>
      <c r="AO812" s="145"/>
      <c r="AP812" s="145"/>
      <c r="AQ812" s="145"/>
    </row>
    <row r="813" spans="37:43">
      <c r="AK813" s="145"/>
      <c r="AL813" s="145"/>
      <c r="AM813" s="145"/>
      <c r="AN813" s="145"/>
      <c r="AO813" s="145"/>
      <c r="AP813" s="145"/>
      <c r="AQ813" s="145"/>
    </row>
    <row r="814" spans="37:43">
      <c r="AK814" s="145"/>
      <c r="AL814" s="145"/>
      <c r="AM814" s="145"/>
      <c r="AN814" s="145"/>
      <c r="AO814" s="145"/>
      <c r="AP814" s="145"/>
      <c r="AQ814" s="145"/>
    </row>
    <row r="815" spans="37:43">
      <c r="AK815" s="145"/>
      <c r="AL815" s="145"/>
      <c r="AM815" s="145"/>
      <c r="AN815" s="145"/>
      <c r="AO815" s="145"/>
      <c r="AP815" s="145"/>
      <c r="AQ815" s="145"/>
    </row>
    <row r="816" spans="37:43">
      <c r="AK816" s="145"/>
      <c r="AL816" s="145"/>
      <c r="AM816" s="145"/>
      <c r="AN816" s="145"/>
      <c r="AO816" s="145"/>
      <c r="AP816" s="145"/>
      <c r="AQ816" s="145"/>
    </row>
    <row r="817" spans="37:43">
      <c r="AK817" s="145"/>
      <c r="AL817" s="145"/>
      <c r="AM817" s="145"/>
      <c r="AN817" s="145"/>
      <c r="AO817" s="145"/>
      <c r="AP817" s="145"/>
      <c r="AQ817" s="145"/>
    </row>
    <row r="818" spans="37:43">
      <c r="AK818" s="145"/>
      <c r="AL818" s="145"/>
      <c r="AM818" s="145"/>
      <c r="AN818" s="145"/>
      <c r="AO818" s="145"/>
      <c r="AP818" s="145"/>
      <c r="AQ818" s="145"/>
    </row>
    <row r="819" spans="37:43">
      <c r="AK819" s="145"/>
      <c r="AL819" s="145"/>
      <c r="AM819" s="145"/>
      <c r="AN819" s="145"/>
      <c r="AO819" s="145"/>
      <c r="AP819" s="145"/>
      <c r="AQ819" s="145"/>
    </row>
    <row r="820" spans="37:43">
      <c r="AK820" s="145"/>
      <c r="AL820" s="145"/>
      <c r="AM820" s="145"/>
      <c r="AN820" s="145"/>
      <c r="AO820" s="145"/>
      <c r="AP820" s="145"/>
      <c r="AQ820" s="145"/>
    </row>
    <row r="821" spans="37:43">
      <c r="AK821" s="145"/>
      <c r="AL821" s="145"/>
      <c r="AM821" s="145"/>
      <c r="AN821" s="145"/>
      <c r="AO821" s="145"/>
      <c r="AP821" s="145"/>
      <c r="AQ821" s="145"/>
    </row>
    <row r="822" spans="37:43">
      <c r="AK822" s="145"/>
      <c r="AL822" s="145"/>
      <c r="AM822" s="145"/>
      <c r="AN822" s="145"/>
      <c r="AO822" s="145"/>
      <c r="AP822" s="145"/>
      <c r="AQ822" s="145"/>
    </row>
    <row r="823" spans="37:43">
      <c r="AK823" s="145"/>
      <c r="AL823" s="145"/>
      <c r="AM823" s="145"/>
      <c r="AN823" s="145"/>
      <c r="AO823" s="145"/>
      <c r="AP823" s="145"/>
      <c r="AQ823" s="145"/>
    </row>
    <row r="824" spans="37:43">
      <c r="AK824" s="145"/>
      <c r="AL824" s="145"/>
      <c r="AM824" s="145"/>
      <c r="AN824" s="145"/>
      <c r="AO824" s="145"/>
      <c r="AP824" s="145"/>
      <c r="AQ824" s="145"/>
    </row>
    <row r="825" spans="37:43">
      <c r="AK825" s="145"/>
      <c r="AL825" s="145"/>
      <c r="AM825" s="145"/>
      <c r="AN825" s="145"/>
      <c r="AO825" s="145"/>
      <c r="AP825" s="145"/>
      <c r="AQ825" s="145"/>
    </row>
    <row r="826" spans="37:43">
      <c r="AK826" s="145"/>
      <c r="AL826" s="145"/>
      <c r="AM826" s="145"/>
      <c r="AN826" s="145"/>
      <c r="AO826" s="145"/>
      <c r="AP826" s="145"/>
      <c r="AQ826" s="145"/>
    </row>
    <row r="827" spans="37:43">
      <c r="AK827" s="145"/>
      <c r="AL827" s="145"/>
      <c r="AM827" s="145"/>
      <c r="AN827" s="145"/>
      <c r="AO827" s="145"/>
      <c r="AP827" s="145"/>
      <c r="AQ827" s="145"/>
    </row>
    <row r="828" spans="37:43">
      <c r="AK828" s="145"/>
      <c r="AL828" s="145"/>
      <c r="AM828" s="145"/>
      <c r="AN828" s="145"/>
      <c r="AO828" s="145"/>
      <c r="AP828" s="145"/>
      <c r="AQ828" s="145"/>
    </row>
    <row r="829" spans="37:43">
      <c r="AK829" s="145"/>
      <c r="AL829" s="145"/>
      <c r="AM829" s="145"/>
      <c r="AN829" s="145"/>
      <c r="AO829" s="145"/>
      <c r="AP829" s="145"/>
      <c r="AQ829" s="145"/>
    </row>
    <row r="830" spans="37:43">
      <c r="AK830" s="145"/>
      <c r="AL830" s="145"/>
      <c r="AM830" s="145"/>
      <c r="AN830" s="145"/>
      <c r="AO830" s="145"/>
      <c r="AP830" s="145"/>
      <c r="AQ830" s="145"/>
    </row>
    <row r="831" spans="37:43">
      <c r="AK831" s="145"/>
      <c r="AL831" s="145"/>
      <c r="AM831" s="145"/>
      <c r="AN831" s="145"/>
      <c r="AO831" s="145"/>
      <c r="AP831" s="145"/>
      <c r="AQ831" s="145"/>
    </row>
    <row r="832" spans="37:43">
      <c r="AK832" s="145"/>
      <c r="AL832" s="145"/>
      <c r="AM832" s="145"/>
      <c r="AN832" s="145"/>
      <c r="AO832" s="145"/>
      <c r="AP832" s="145"/>
      <c r="AQ832" s="145"/>
    </row>
    <row r="833" spans="37:43">
      <c r="AK833" s="145"/>
      <c r="AL833" s="145"/>
      <c r="AM833" s="145"/>
      <c r="AN833" s="145"/>
      <c r="AO833" s="145"/>
      <c r="AP833" s="145"/>
      <c r="AQ833" s="145"/>
    </row>
    <row r="834" spans="37:43">
      <c r="AK834" s="145"/>
      <c r="AL834" s="145"/>
      <c r="AM834" s="145"/>
      <c r="AN834" s="145"/>
      <c r="AO834" s="145"/>
      <c r="AP834" s="145"/>
      <c r="AQ834" s="145"/>
    </row>
    <row r="835" spans="37:43">
      <c r="AK835" s="145"/>
      <c r="AL835" s="145"/>
      <c r="AM835" s="145"/>
      <c r="AN835" s="145"/>
      <c r="AO835" s="145"/>
      <c r="AP835" s="145"/>
      <c r="AQ835" s="145"/>
    </row>
    <row r="836" spans="37:43">
      <c r="AK836" s="145"/>
      <c r="AL836" s="145"/>
      <c r="AM836" s="145"/>
      <c r="AN836" s="145"/>
      <c r="AO836" s="145"/>
      <c r="AP836" s="145"/>
      <c r="AQ836" s="145"/>
    </row>
    <row r="837" spans="37:43">
      <c r="AK837" s="145"/>
      <c r="AL837" s="145"/>
      <c r="AM837" s="145"/>
      <c r="AN837" s="145"/>
      <c r="AO837" s="145"/>
      <c r="AP837" s="145"/>
      <c r="AQ837" s="145"/>
    </row>
    <row r="838" spans="37:43">
      <c r="AK838" s="145"/>
      <c r="AL838" s="145"/>
      <c r="AM838" s="145"/>
      <c r="AN838" s="145"/>
      <c r="AO838" s="145"/>
      <c r="AP838" s="145"/>
      <c r="AQ838" s="145"/>
    </row>
    <row r="839" spans="37:43">
      <c r="AK839" s="145"/>
      <c r="AL839" s="145"/>
      <c r="AM839" s="145"/>
      <c r="AN839" s="145"/>
      <c r="AO839" s="145"/>
      <c r="AP839" s="145"/>
      <c r="AQ839" s="145"/>
    </row>
    <row r="840" spans="37:43">
      <c r="AK840" s="145"/>
      <c r="AL840" s="145"/>
      <c r="AM840" s="145"/>
      <c r="AN840" s="145"/>
      <c r="AO840" s="145"/>
      <c r="AP840" s="145"/>
      <c r="AQ840" s="145"/>
    </row>
    <row r="841" spans="37:43">
      <c r="AK841" s="145"/>
      <c r="AL841" s="145"/>
      <c r="AM841" s="145"/>
      <c r="AN841" s="145"/>
      <c r="AO841" s="145"/>
      <c r="AP841" s="145"/>
      <c r="AQ841" s="145"/>
    </row>
    <row r="842" spans="37:43">
      <c r="AK842" s="145"/>
      <c r="AL842" s="145"/>
      <c r="AM842" s="145"/>
      <c r="AN842" s="145"/>
      <c r="AO842" s="145"/>
      <c r="AP842" s="145"/>
      <c r="AQ842" s="145"/>
    </row>
    <row r="843" spans="37:43">
      <c r="AK843" s="145"/>
      <c r="AL843" s="145"/>
      <c r="AM843" s="145"/>
      <c r="AN843" s="145"/>
      <c r="AO843" s="145"/>
      <c r="AP843" s="145"/>
      <c r="AQ843" s="145"/>
    </row>
    <row r="844" spans="37:43">
      <c r="AK844" s="145"/>
      <c r="AL844" s="145"/>
      <c r="AM844" s="145"/>
      <c r="AN844" s="145"/>
      <c r="AO844" s="145"/>
      <c r="AP844" s="145"/>
      <c r="AQ844" s="145"/>
    </row>
    <row r="845" spans="37:43">
      <c r="AK845" s="145"/>
      <c r="AL845" s="145"/>
      <c r="AM845" s="145"/>
      <c r="AN845" s="145"/>
      <c r="AO845" s="145"/>
      <c r="AP845" s="145"/>
      <c r="AQ845" s="145"/>
    </row>
    <row r="846" spans="37:43">
      <c r="AK846" s="145"/>
      <c r="AL846" s="145"/>
      <c r="AM846" s="145"/>
      <c r="AN846" s="145"/>
      <c r="AO846" s="145"/>
      <c r="AP846" s="145"/>
      <c r="AQ846" s="145"/>
    </row>
    <row r="847" spans="37:43">
      <c r="AK847" s="145"/>
      <c r="AL847" s="145"/>
      <c r="AM847" s="145"/>
      <c r="AN847" s="145"/>
      <c r="AO847" s="145"/>
      <c r="AP847" s="145"/>
      <c r="AQ847" s="145"/>
    </row>
    <row r="848" spans="37:43">
      <c r="AK848" s="145"/>
      <c r="AL848" s="145"/>
      <c r="AM848" s="145"/>
      <c r="AN848" s="145"/>
      <c r="AO848" s="145"/>
      <c r="AP848" s="145"/>
      <c r="AQ848" s="145"/>
    </row>
    <row r="849" spans="37:43">
      <c r="AK849" s="145"/>
      <c r="AL849" s="145"/>
      <c r="AM849" s="145"/>
      <c r="AN849" s="145"/>
      <c r="AO849" s="145"/>
      <c r="AP849" s="145"/>
      <c r="AQ849" s="145"/>
    </row>
    <row r="850" spans="37:43">
      <c r="AK850" s="145"/>
      <c r="AL850" s="145"/>
      <c r="AM850" s="145"/>
      <c r="AN850" s="145"/>
      <c r="AO850" s="145"/>
      <c r="AP850" s="145"/>
      <c r="AQ850" s="145"/>
    </row>
    <row r="851" spans="37:43">
      <c r="AK851" s="145"/>
      <c r="AL851" s="145"/>
      <c r="AM851" s="145"/>
      <c r="AN851" s="145"/>
      <c r="AO851" s="145"/>
      <c r="AP851" s="145"/>
      <c r="AQ851" s="145"/>
    </row>
    <row r="852" spans="37:43">
      <c r="AK852" s="145"/>
      <c r="AL852" s="145"/>
      <c r="AM852" s="145"/>
      <c r="AN852" s="145"/>
      <c r="AO852" s="145"/>
      <c r="AP852" s="145"/>
      <c r="AQ852" s="145"/>
    </row>
    <row r="853" spans="37:43">
      <c r="AK853" s="145"/>
      <c r="AL853" s="145"/>
      <c r="AM853" s="145"/>
      <c r="AN853" s="145"/>
      <c r="AO853" s="145"/>
      <c r="AP853" s="145"/>
      <c r="AQ853" s="145"/>
    </row>
    <row r="854" spans="37:43">
      <c r="AK854" s="145"/>
      <c r="AL854" s="145"/>
      <c r="AM854" s="145"/>
      <c r="AN854" s="145"/>
      <c r="AO854" s="145"/>
      <c r="AP854" s="145"/>
      <c r="AQ854" s="145"/>
    </row>
    <row r="855" spans="37:43">
      <c r="AK855" s="145"/>
      <c r="AL855" s="145"/>
      <c r="AM855" s="145"/>
      <c r="AN855" s="145"/>
      <c r="AO855" s="145"/>
      <c r="AP855" s="145"/>
      <c r="AQ855" s="145"/>
    </row>
    <row r="856" spans="37:43">
      <c r="AK856" s="145"/>
      <c r="AL856" s="145"/>
      <c r="AM856" s="145"/>
      <c r="AN856" s="145"/>
      <c r="AO856" s="145"/>
      <c r="AP856" s="145"/>
      <c r="AQ856" s="145"/>
    </row>
    <row r="857" spans="37:43">
      <c r="AK857" s="145"/>
      <c r="AL857" s="145"/>
      <c r="AM857" s="145"/>
      <c r="AN857" s="145"/>
      <c r="AO857" s="145"/>
      <c r="AP857" s="145"/>
      <c r="AQ857" s="145"/>
    </row>
    <row r="858" spans="37:43">
      <c r="AK858" s="145"/>
      <c r="AL858" s="145"/>
      <c r="AM858" s="145"/>
      <c r="AN858" s="145"/>
      <c r="AO858" s="145"/>
      <c r="AP858" s="145"/>
      <c r="AQ858" s="145"/>
    </row>
    <row r="859" spans="37:43">
      <c r="AK859" s="145"/>
      <c r="AL859" s="145"/>
      <c r="AM859" s="145"/>
      <c r="AN859" s="145"/>
      <c r="AO859" s="145"/>
      <c r="AP859" s="145"/>
      <c r="AQ859" s="145"/>
    </row>
    <row r="860" spans="37:43">
      <c r="AK860" s="145"/>
      <c r="AL860" s="145"/>
      <c r="AM860" s="145"/>
      <c r="AN860" s="145"/>
      <c r="AO860" s="145"/>
      <c r="AP860" s="145"/>
      <c r="AQ860" s="145"/>
    </row>
    <row r="861" spans="37:43">
      <c r="AK861" s="145"/>
      <c r="AL861" s="145"/>
      <c r="AM861" s="145"/>
      <c r="AN861" s="145"/>
      <c r="AO861" s="145"/>
      <c r="AP861" s="145"/>
      <c r="AQ861" s="145"/>
    </row>
    <row r="862" spans="37:43">
      <c r="AK862" s="145"/>
      <c r="AL862" s="145"/>
      <c r="AM862" s="145"/>
      <c r="AN862" s="145"/>
      <c r="AO862" s="145"/>
      <c r="AP862" s="145"/>
      <c r="AQ862" s="145"/>
    </row>
    <row r="863" spans="37:43">
      <c r="AK863" s="145"/>
      <c r="AL863" s="145"/>
      <c r="AM863" s="145"/>
      <c r="AN863" s="145"/>
      <c r="AO863" s="145"/>
      <c r="AP863" s="145"/>
      <c r="AQ863" s="145"/>
    </row>
    <row r="864" spans="37:43">
      <c r="AK864" s="145"/>
      <c r="AL864" s="145"/>
      <c r="AM864" s="145"/>
      <c r="AN864" s="145"/>
      <c r="AO864" s="145"/>
      <c r="AP864" s="145"/>
      <c r="AQ864" s="145"/>
    </row>
    <row r="865" spans="37:43">
      <c r="AK865" s="145"/>
      <c r="AL865" s="145"/>
      <c r="AM865" s="145"/>
      <c r="AN865" s="145"/>
      <c r="AO865" s="145"/>
      <c r="AP865" s="145"/>
      <c r="AQ865" s="145"/>
    </row>
    <row r="866" spans="37:43">
      <c r="AK866" s="145"/>
      <c r="AL866" s="145"/>
      <c r="AM866" s="145"/>
      <c r="AN866" s="145"/>
      <c r="AO866" s="145"/>
      <c r="AP866" s="145"/>
      <c r="AQ866" s="145"/>
    </row>
    <row r="867" spans="37:43">
      <c r="AK867" s="145"/>
      <c r="AL867" s="145"/>
      <c r="AM867" s="145"/>
      <c r="AN867" s="145"/>
      <c r="AO867" s="145"/>
      <c r="AP867" s="145"/>
      <c r="AQ867" s="145"/>
    </row>
    <row r="868" spans="37:43">
      <c r="AK868" s="145"/>
      <c r="AL868" s="145"/>
      <c r="AM868" s="145"/>
      <c r="AN868" s="145"/>
      <c r="AO868" s="145"/>
      <c r="AP868" s="145"/>
      <c r="AQ868" s="145"/>
    </row>
    <row r="869" spans="37:43">
      <c r="AK869" s="145"/>
      <c r="AL869" s="145"/>
      <c r="AM869" s="145"/>
      <c r="AN869" s="145"/>
      <c r="AO869" s="145"/>
      <c r="AP869" s="145"/>
      <c r="AQ869" s="145"/>
    </row>
    <row r="870" spans="37:43">
      <c r="AK870" s="145"/>
      <c r="AL870" s="145"/>
      <c r="AM870" s="145"/>
      <c r="AN870" s="145"/>
      <c r="AO870" s="145"/>
      <c r="AP870" s="145"/>
      <c r="AQ870" s="145"/>
    </row>
    <row r="871" spans="37:43">
      <c r="AK871" s="145"/>
      <c r="AL871" s="145"/>
      <c r="AM871" s="145"/>
      <c r="AN871" s="145"/>
      <c r="AO871" s="145"/>
      <c r="AP871" s="145"/>
      <c r="AQ871" s="145"/>
    </row>
    <row r="872" spans="37:43">
      <c r="AK872" s="145"/>
      <c r="AL872" s="145"/>
      <c r="AM872" s="145"/>
      <c r="AN872" s="145"/>
      <c r="AO872" s="145"/>
      <c r="AP872" s="145"/>
      <c r="AQ872" s="145"/>
    </row>
    <row r="873" spans="37:43">
      <c r="AK873" s="145"/>
      <c r="AL873" s="145"/>
      <c r="AM873" s="145"/>
      <c r="AN873" s="145"/>
      <c r="AO873" s="145"/>
      <c r="AP873" s="145"/>
      <c r="AQ873" s="145"/>
    </row>
    <row r="874" spans="37:43">
      <c r="AK874" s="145"/>
      <c r="AL874" s="145"/>
      <c r="AM874" s="145"/>
      <c r="AN874" s="145"/>
      <c r="AO874" s="145"/>
      <c r="AP874" s="145"/>
      <c r="AQ874" s="145"/>
    </row>
    <row r="875" spans="37:43">
      <c r="AK875" s="145"/>
      <c r="AL875" s="145"/>
      <c r="AM875" s="145"/>
      <c r="AN875" s="145"/>
      <c r="AO875" s="145"/>
      <c r="AP875" s="145"/>
      <c r="AQ875" s="145"/>
    </row>
    <row r="876" spans="37:43">
      <c r="AK876" s="145"/>
      <c r="AL876" s="145"/>
      <c r="AM876" s="145"/>
      <c r="AN876" s="145"/>
      <c r="AO876" s="145"/>
      <c r="AP876" s="145"/>
      <c r="AQ876" s="145"/>
    </row>
    <row r="877" spans="37:43">
      <c r="AK877" s="145"/>
      <c r="AL877" s="145"/>
      <c r="AM877" s="145"/>
      <c r="AN877" s="145"/>
      <c r="AO877" s="145"/>
      <c r="AP877" s="145"/>
      <c r="AQ877" s="145"/>
    </row>
    <row r="878" spans="37:43">
      <c r="AK878" s="145"/>
      <c r="AL878" s="145"/>
      <c r="AM878" s="145"/>
      <c r="AN878" s="145"/>
      <c r="AO878" s="145"/>
      <c r="AP878" s="145"/>
      <c r="AQ878" s="145"/>
    </row>
    <row r="879" spans="37:43">
      <c r="AK879" s="145"/>
      <c r="AL879" s="145"/>
      <c r="AM879" s="145"/>
      <c r="AN879" s="145"/>
      <c r="AO879" s="145"/>
      <c r="AP879" s="145"/>
      <c r="AQ879" s="145"/>
    </row>
    <row r="880" spans="37:43">
      <c r="AK880" s="145"/>
      <c r="AL880" s="145"/>
      <c r="AM880" s="145"/>
      <c r="AN880" s="145"/>
      <c r="AO880" s="145"/>
      <c r="AP880" s="145"/>
      <c r="AQ880" s="145"/>
    </row>
    <row r="881" spans="37:43">
      <c r="AK881" s="145"/>
      <c r="AL881" s="145"/>
      <c r="AM881" s="145"/>
      <c r="AN881" s="145"/>
      <c r="AO881" s="145"/>
      <c r="AP881" s="145"/>
      <c r="AQ881" s="145"/>
    </row>
    <row r="882" spans="37:43">
      <c r="AK882" s="145"/>
      <c r="AL882" s="145"/>
      <c r="AM882" s="145"/>
      <c r="AN882" s="145"/>
      <c r="AO882" s="145"/>
      <c r="AP882" s="145"/>
      <c r="AQ882" s="145"/>
    </row>
    <row r="883" spans="37:43">
      <c r="AK883" s="145"/>
      <c r="AL883" s="145"/>
      <c r="AM883" s="145"/>
      <c r="AN883" s="145"/>
      <c r="AO883" s="145"/>
      <c r="AP883" s="145"/>
      <c r="AQ883" s="145"/>
    </row>
    <row r="884" spans="37:43">
      <c r="AK884" s="145"/>
      <c r="AL884" s="145"/>
      <c r="AM884" s="145"/>
      <c r="AN884" s="145"/>
      <c r="AO884" s="145"/>
      <c r="AP884" s="145"/>
      <c r="AQ884" s="145"/>
    </row>
    <row r="885" spans="37:43">
      <c r="AK885" s="145"/>
      <c r="AL885" s="145"/>
      <c r="AM885" s="145"/>
      <c r="AN885" s="145"/>
      <c r="AO885" s="145"/>
      <c r="AP885" s="145"/>
      <c r="AQ885" s="145"/>
    </row>
    <row r="886" spans="37:43">
      <c r="AK886" s="145"/>
      <c r="AL886" s="145"/>
      <c r="AM886" s="145"/>
      <c r="AN886" s="145"/>
      <c r="AO886" s="145"/>
      <c r="AP886" s="145"/>
      <c r="AQ886" s="145"/>
    </row>
    <row r="887" spans="37:43">
      <c r="AK887" s="145"/>
      <c r="AL887" s="145"/>
      <c r="AM887" s="145"/>
      <c r="AN887" s="145"/>
      <c r="AO887" s="145"/>
      <c r="AP887" s="145"/>
      <c r="AQ887" s="145"/>
    </row>
    <row r="888" spans="37:43">
      <c r="AK888" s="145"/>
      <c r="AL888" s="145"/>
      <c r="AM888" s="145"/>
      <c r="AN888" s="145"/>
      <c r="AO888" s="145"/>
      <c r="AP888" s="145"/>
      <c r="AQ888" s="145"/>
    </row>
    <row r="889" spans="37:43">
      <c r="AK889" s="145"/>
      <c r="AL889" s="145"/>
      <c r="AM889" s="145"/>
      <c r="AN889" s="145"/>
      <c r="AO889" s="145"/>
      <c r="AP889" s="145"/>
      <c r="AQ889" s="145"/>
    </row>
    <row r="890" spans="37:43">
      <c r="AK890" s="145"/>
      <c r="AL890" s="145"/>
      <c r="AM890" s="145"/>
      <c r="AN890" s="145"/>
      <c r="AO890" s="145"/>
      <c r="AP890" s="145"/>
      <c r="AQ890" s="145"/>
    </row>
    <row r="891" spans="37:43">
      <c r="AK891" s="145"/>
      <c r="AL891" s="145"/>
      <c r="AM891" s="145"/>
      <c r="AN891" s="145"/>
      <c r="AO891" s="145"/>
      <c r="AP891" s="145"/>
      <c r="AQ891" s="145"/>
    </row>
    <row r="892" spans="37:43">
      <c r="AK892" s="145"/>
      <c r="AL892" s="145"/>
      <c r="AM892" s="145"/>
      <c r="AN892" s="145"/>
      <c r="AO892" s="145"/>
      <c r="AP892" s="145"/>
      <c r="AQ892" s="145"/>
    </row>
    <row r="893" spans="37:43">
      <c r="AK893" s="145"/>
      <c r="AL893" s="145"/>
      <c r="AM893" s="145"/>
      <c r="AN893" s="145"/>
      <c r="AO893" s="145"/>
      <c r="AP893" s="145"/>
      <c r="AQ893" s="145"/>
    </row>
    <row r="894" spans="37:43">
      <c r="AK894" s="145"/>
      <c r="AL894" s="145"/>
      <c r="AM894" s="145"/>
      <c r="AN894" s="145"/>
      <c r="AO894" s="145"/>
      <c r="AP894" s="145"/>
      <c r="AQ894" s="145"/>
    </row>
    <row r="895" spans="37:43">
      <c r="AK895" s="145"/>
      <c r="AL895" s="145"/>
      <c r="AM895" s="145"/>
      <c r="AN895" s="145"/>
      <c r="AO895" s="145"/>
      <c r="AP895" s="145"/>
      <c r="AQ895" s="145"/>
    </row>
    <row r="896" spans="37:43">
      <c r="AK896" s="145"/>
      <c r="AL896" s="145"/>
      <c r="AM896" s="145"/>
      <c r="AN896" s="145"/>
      <c r="AO896" s="145"/>
      <c r="AP896" s="145"/>
      <c r="AQ896" s="145"/>
    </row>
    <row r="897" spans="37:43">
      <c r="AK897" s="145"/>
      <c r="AL897" s="145"/>
      <c r="AM897" s="145"/>
      <c r="AN897" s="145"/>
      <c r="AO897" s="145"/>
      <c r="AP897" s="145"/>
      <c r="AQ897" s="145"/>
    </row>
    <row r="898" spans="37:43">
      <c r="AK898" s="145"/>
      <c r="AL898" s="145"/>
      <c r="AM898" s="145"/>
      <c r="AN898" s="145"/>
      <c r="AO898" s="145"/>
      <c r="AP898" s="145"/>
      <c r="AQ898" s="145"/>
    </row>
    <row r="899" spans="37:43">
      <c r="AK899" s="145"/>
      <c r="AL899" s="145"/>
      <c r="AM899" s="145"/>
      <c r="AN899" s="145"/>
      <c r="AO899" s="145"/>
      <c r="AP899" s="145"/>
      <c r="AQ899" s="145"/>
    </row>
    <row r="900" spans="37:43">
      <c r="AK900" s="145"/>
      <c r="AL900" s="145"/>
      <c r="AM900" s="145"/>
      <c r="AN900" s="145"/>
      <c r="AO900" s="145"/>
      <c r="AP900" s="145"/>
      <c r="AQ900" s="145"/>
    </row>
    <row r="901" spans="37:43">
      <c r="AK901" s="145"/>
      <c r="AL901" s="145"/>
      <c r="AM901" s="145"/>
      <c r="AN901" s="145"/>
      <c r="AO901" s="145"/>
      <c r="AP901" s="145"/>
      <c r="AQ901" s="145"/>
    </row>
    <row r="902" spans="37:43">
      <c r="AK902" s="145"/>
      <c r="AL902" s="145"/>
      <c r="AM902" s="145"/>
      <c r="AN902" s="145"/>
      <c r="AO902" s="145"/>
      <c r="AP902" s="145"/>
      <c r="AQ902" s="145"/>
    </row>
    <row r="903" spans="37:43">
      <c r="AK903" s="145"/>
      <c r="AL903" s="145"/>
      <c r="AM903" s="145"/>
      <c r="AN903" s="145"/>
      <c r="AO903" s="145"/>
      <c r="AP903" s="145"/>
      <c r="AQ903" s="145"/>
    </row>
    <row r="904" spans="37:43">
      <c r="AK904" s="145"/>
      <c r="AL904" s="145"/>
      <c r="AM904" s="145"/>
      <c r="AN904" s="145"/>
      <c r="AO904" s="145"/>
      <c r="AP904" s="145"/>
      <c r="AQ904" s="145"/>
    </row>
    <row r="905" spans="37:43">
      <c r="AK905" s="145"/>
      <c r="AL905" s="145"/>
      <c r="AM905" s="145"/>
      <c r="AN905" s="145"/>
      <c r="AO905" s="145"/>
      <c r="AP905" s="145"/>
      <c r="AQ905" s="145"/>
    </row>
    <row r="906" spans="37:43">
      <c r="AK906" s="145"/>
      <c r="AL906" s="145"/>
      <c r="AM906" s="145"/>
      <c r="AN906" s="145"/>
      <c r="AO906" s="145"/>
      <c r="AP906" s="145"/>
      <c r="AQ906" s="145"/>
    </row>
    <row r="907" spans="37:43">
      <c r="AK907" s="145"/>
      <c r="AL907" s="145"/>
      <c r="AM907" s="145"/>
      <c r="AN907" s="145"/>
      <c r="AO907" s="145"/>
      <c r="AP907" s="145"/>
      <c r="AQ907" s="145"/>
    </row>
    <row r="908" spans="37:43">
      <c r="AK908" s="145"/>
      <c r="AL908" s="145"/>
      <c r="AM908" s="145"/>
      <c r="AN908" s="145"/>
      <c r="AO908" s="145"/>
      <c r="AP908" s="145"/>
      <c r="AQ908" s="145"/>
    </row>
    <row r="909" spans="37:43">
      <c r="AK909" s="145"/>
      <c r="AL909" s="145"/>
      <c r="AM909" s="145"/>
      <c r="AN909" s="145"/>
      <c r="AO909" s="145"/>
      <c r="AP909" s="145"/>
      <c r="AQ909" s="145"/>
    </row>
    <row r="910" spans="37:43">
      <c r="AK910" s="145"/>
      <c r="AL910" s="145"/>
      <c r="AM910" s="145"/>
      <c r="AN910" s="145"/>
      <c r="AO910" s="145"/>
      <c r="AP910" s="145"/>
      <c r="AQ910" s="145"/>
    </row>
    <row r="911" spans="37:43">
      <c r="AK911" s="145"/>
      <c r="AL911" s="145"/>
      <c r="AM911" s="145"/>
      <c r="AN911" s="145"/>
      <c r="AO911" s="145"/>
      <c r="AP911" s="145"/>
      <c r="AQ911" s="145"/>
    </row>
    <row r="912" spans="37:43">
      <c r="AK912" s="145"/>
      <c r="AL912" s="145"/>
      <c r="AM912" s="145"/>
      <c r="AN912" s="145"/>
      <c r="AO912" s="145"/>
      <c r="AP912" s="145"/>
      <c r="AQ912" s="145"/>
    </row>
    <row r="913" spans="37:43">
      <c r="AK913" s="145"/>
      <c r="AL913" s="145"/>
      <c r="AM913" s="145"/>
      <c r="AN913" s="145"/>
      <c r="AO913" s="145"/>
      <c r="AP913" s="145"/>
      <c r="AQ913" s="145"/>
    </row>
    <row r="914" spans="37:43">
      <c r="AK914" s="145"/>
      <c r="AL914" s="145"/>
      <c r="AM914" s="145"/>
      <c r="AN914" s="145"/>
      <c r="AO914" s="145"/>
      <c r="AP914" s="145"/>
      <c r="AQ914" s="145"/>
    </row>
    <row r="915" spans="37:43">
      <c r="AK915" s="145"/>
      <c r="AL915" s="145"/>
      <c r="AM915" s="145"/>
      <c r="AN915" s="145"/>
      <c r="AO915" s="145"/>
      <c r="AP915" s="145"/>
      <c r="AQ915" s="145"/>
    </row>
    <row r="916" spans="37:43">
      <c r="AK916" s="145"/>
      <c r="AL916" s="145"/>
      <c r="AM916" s="145"/>
      <c r="AN916" s="145"/>
      <c r="AO916" s="145"/>
      <c r="AP916" s="145"/>
      <c r="AQ916" s="145"/>
    </row>
    <row r="917" spans="37:43">
      <c r="AK917" s="145"/>
      <c r="AL917" s="145"/>
      <c r="AM917" s="145"/>
      <c r="AN917" s="145"/>
      <c r="AO917" s="145"/>
      <c r="AP917" s="145"/>
      <c r="AQ917" s="145"/>
    </row>
    <row r="918" spans="37:43">
      <c r="AK918" s="145"/>
      <c r="AL918" s="145"/>
      <c r="AM918" s="145"/>
      <c r="AN918" s="145"/>
      <c r="AO918" s="145"/>
      <c r="AP918" s="145"/>
      <c r="AQ918" s="145"/>
    </row>
    <row r="919" spans="37:43">
      <c r="AK919" s="145"/>
      <c r="AL919" s="145"/>
      <c r="AM919" s="145"/>
      <c r="AN919" s="145"/>
      <c r="AO919" s="145"/>
      <c r="AP919" s="145"/>
      <c r="AQ919" s="145"/>
    </row>
    <row r="920" spans="37:43">
      <c r="AK920" s="145"/>
      <c r="AL920" s="145"/>
      <c r="AM920" s="145"/>
      <c r="AN920" s="145"/>
      <c r="AO920" s="145"/>
      <c r="AP920" s="145"/>
      <c r="AQ920" s="145"/>
    </row>
    <row r="921" spans="37:43">
      <c r="AK921" s="145"/>
      <c r="AL921" s="145"/>
      <c r="AM921" s="145"/>
      <c r="AN921" s="145"/>
      <c r="AO921" s="145"/>
      <c r="AP921" s="145"/>
      <c r="AQ921" s="145"/>
    </row>
    <row r="922" spans="37:43">
      <c r="AK922" s="145"/>
      <c r="AL922" s="145"/>
      <c r="AM922" s="145"/>
      <c r="AN922" s="145"/>
      <c r="AO922" s="145"/>
      <c r="AP922" s="145"/>
      <c r="AQ922" s="145"/>
    </row>
    <row r="923" spans="37:43">
      <c r="AK923" s="145"/>
      <c r="AL923" s="145"/>
      <c r="AM923" s="145"/>
      <c r="AN923" s="145"/>
      <c r="AO923" s="145"/>
      <c r="AP923" s="145"/>
      <c r="AQ923" s="145"/>
    </row>
    <row r="924" spans="37:43">
      <c r="AK924" s="145"/>
      <c r="AL924" s="145"/>
      <c r="AM924" s="145"/>
      <c r="AN924" s="145"/>
      <c r="AO924" s="145"/>
      <c r="AP924" s="145"/>
      <c r="AQ924" s="145"/>
    </row>
    <row r="925" spans="37:43">
      <c r="AK925" s="145"/>
      <c r="AL925" s="145"/>
      <c r="AM925" s="145"/>
      <c r="AN925" s="145"/>
      <c r="AO925" s="145"/>
      <c r="AP925" s="145"/>
      <c r="AQ925" s="145"/>
    </row>
    <row r="926" spans="37:43">
      <c r="AK926" s="145"/>
      <c r="AL926" s="145"/>
      <c r="AM926" s="145"/>
      <c r="AN926" s="145"/>
      <c r="AO926" s="145"/>
      <c r="AP926" s="145"/>
      <c r="AQ926" s="145"/>
    </row>
    <row r="927" spans="37:43">
      <c r="AK927" s="145"/>
      <c r="AL927" s="145"/>
      <c r="AM927" s="145"/>
      <c r="AN927" s="145"/>
      <c r="AO927" s="145"/>
      <c r="AP927" s="145"/>
      <c r="AQ927" s="145"/>
    </row>
    <row r="928" spans="37:43">
      <c r="AK928" s="145"/>
      <c r="AL928" s="145"/>
      <c r="AM928" s="145"/>
      <c r="AN928" s="145"/>
      <c r="AO928" s="145"/>
      <c r="AP928" s="145"/>
      <c r="AQ928" s="145"/>
    </row>
    <row r="929" spans="37:43">
      <c r="AK929" s="145"/>
      <c r="AL929" s="145"/>
      <c r="AM929" s="145"/>
      <c r="AN929" s="145"/>
      <c r="AO929" s="145"/>
      <c r="AP929" s="145"/>
      <c r="AQ929" s="145"/>
    </row>
    <row r="930" spans="37:43">
      <c r="AK930" s="145"/>
      <c r="AL930" s="145"/>
      <c r="AM930" s="145"/>
      <c r="AN930" s="145"/>
      <c r="AO930" s="145"/>
      <c r="AP930" s="145"/>
      <c r="AQ930" s="145"/>
    </row>
    <row r="931" spans="37:43">
      <c r="AK931" s="145"/>
      <c r="AL931" s="145"/>
      <c r="AM931" s="145"/>
      <c r="AN931" s="145"/>
      <c r="AO931" s="145"/>
      <c r="AP931" s="145"/>
      <c r="AQ931" s="145"/>
    </row>
    <row r="932" spans="37:43">
      <c r="AK932" s="145"/>
      <c r="AL932" s="145"/>
      <c r="AM932" s="145"/>
      <c r="AN932" s="145"/>
      <c r="AO932" s="145"/>
      <c r="AP932" s="145"/>
      <c r="AQ932" s="145"/>
    </row>
    <row r="933" spans="37:43">
      <c r="AK933" s="145"/>
      <c r="AL933" s="145"/>
      <c r="AM933" s="145"/>
      <c r="AN933" s="145"/>
      <c r="AO933" s="145"/>
      <c r="AP933" s="145"/>
      <c r="AQ933" s="145"/>
    </row>
    <row r="934" spans="37:43">
      <c r="AK934" s="145"/>
      <c r="AL934" s="145"/>
      <c r="AM934" s="145"/>
      <c r="AN934" s="145"/>
      <c r="AO934" s="145"/>
      <c r="AP934" s="145"/>
      <c r="AQ934" s="145"/>
    </row>
    <row r="935" spans="37:43">
      <c r="AK935" s="145"/>
      <c r="AL935" s="145"/>
      <c r="AM935" s="145"/>
      <c r="AN935" s="145"/>
      <c r="AO935" s="145"/>
      <c r="AP935" s="145"/>
      <c r="AQ935" s="145"/>
    </row>
    <row r="936" spans="37:43">
      <c r="AK936" s="145"/>
      <c r="AL936" s="145"/>
      <c r="AM936" s="145"/>
      <c r="AN936" s="145"/>
      <c r="AO936" s="145"/>
      <c r="AP936" s="145"/>
      <c r="AQ936" s="145"/>
    </row>
    <row r="937" spans="37:43">
      <c r="AK937" s="145"/>
      <c r="AL937" s="145"/>
      <c r="AM937" s="145"/>
      <c r="AN937" s="145"/>
      <c r="AO937" s="145"/>
      <c r="AP937" s="145"/>
      <c r="AQ937" s="145"/>
    </row>
    <row r="938" spans="37:43">
      <c r="AK938" s="145"/>
      <c r="AL938" s="145"/>
      <c r="AM938" s="145"/>
      <c r="AN938" s="145"/>
      <c r="AO938" s="145"/>
      <c r="AP938" s="145"/>
      <c r="AQ938" s="145"/>
    </row>
    <row r="939" spans="37:43">
      <c r="AK939" s="145"/>
      <c r="AL939" s="145"/>
      <c r="AM939" s="145"/>
      <c r="AN939" s="145"/>
      <c r="AO939" s="145"/>
      <c r="AP939" s="145"/>
      <c r="AQ939" s="145"/>
    </row>
    <row r="940" spans="37:43">
      <c r="AK940" s="145"/>
      <c r="AL940" s="145"/>
      <c r="AM940" s="145"/>
      <c r="AN940" s="145"/>
      <c r="AO940" s="145"/>
      <c r="AP940" s="145"/>
      <c r="AQ940" s="145"/>
    </row>
    <row r="941" spans="37:43">
      <c r="AK941" s="145"/>
      <c r="AL941" s="145"/>
      <c r="AM941" s="145"/>
      <c r="AN941" s="145"/>
      <c r="AO941" s="145"/>
      <c r="AP941" s="145"/>
      <c r="AQ941" s="145"/>
    </row>
    <row r="942" spans="37:43">
      <c r="AK942" s="145"/>
      <c r="AL942" s="145"/>
      <c r="AM942" s="145"/>
      <c r="AN942" s="145"/>
      <c r="AO942" s="145"/>
      <c r="AP942" s="145"/>
      <c r="AQ942" s="145"/>
    </row>
    <row r="943" spans="37:43">
      <c r="AK943" s="145"/>
      <c r="AL943" s="145"/>
      <c r="AM943" s="145"/>
      <c r="AN943" s="145"/>
      <c r="AO943" s="145"/>
      <c r="AP943" s="145"/>
      <c r="AQ943" s="145"/>
    </row>
    <row r="944" spans="37:43">
      <c r="AK944" s="145"/>
      <c r="AL944" s="145"/>
      <c r="AM944" s="145"/>
      <c r="AN944" s="145"/>
      <c r="AO944" s="145"/>
      <c r="AP944" s="145"/>
      <c r="AQ944" s="145"/>
    </row>
    <row r="945" spans="37:43">
      <c r="AK945" s="145"/>
      <c r="AL945" s="145"/>
      <c r="AM945" s="145"/>
      <c r="AN945" s="145"/>
      <c r="AO945" s="145"/>
      <c r="AP945" s="145"/>
      <c r="AQ945" s="145"/>
    </row>
    <row r="946" spans="37:43">
      <c r="AK946" s="145"/>
      <c r="AL946" s="145"/>
      <c r="AM946" s="145"/>
      <c r="AN946" s="145"/>
      <c r="AO946" s="145"/>
      <c r="AP946" s="145"/>
      <c r="AQ946" s="145"/>
    </row>
    <row r="947" spans="37:43">
      <c r="AK947" s="145"/>
      <c r="AL947" s="145"/>
      <c r="AM947" s="145"/>
      <c r="AN947" s="145"/>
      <c r="AO947" s="145"/>
      <c r="AP947" s="145"/>
      <c r="AQ947" s="145"/>
    </row>
    <row r="948" spans="37:43">
      <c r="AK948" s="145"/>
      <c r="AL948" s="145"/>
      <c r="AM948" s="145"/>
      <c r="AN948" s="145"/>
      <c r="AO948" s="145"/>
      <c r="AP948" s="145"/>
      <c r="AQ948" s="145"/>
    </row>
    <row r="949" spans="37:43">
      <c r="AK949" s="145"/>
      <c r="AL949" s="145"/>
      <c r="AM949" s="145"/>
      <c r="AN949" s="145"/>
      <c r="AO949" s="145"/>
      <c r="AP949" s="145"/>
      <c r="AQ949" s="145"/>
    </row>
    <row r="950" spans="37:43">
      <c r="AK950" s="145"/>
      <c r="AL950" s="145"/>
      <c r="AM950" s="145"/>
      <c r="AN950" s="145"/>
      <c r="AO950" s="145"/>
      <c r="AP950" s="145"/>
      <c r="AQ950" s="145"/>
    </row>
    <row r="951" spans="37:43">
      <c r="AK951" s="145"/>
      <c r="AL951" s="145"/>
      <c r="AM951" s="145"/>
      <c r="AN951" s="145"/>
      <c r="AO951" s="145"/>
      <c r="AP951" s="145"/>
      <c r="AQ951" s="145"/>
    </row>
    <row r="952" spans="37:43">
      <c r="AK952" s="145"/>
      <c r="AL952" s="145"/>
      <c r="AM952" s="145"/>
      <c r="AN952" s="145"/>
      <c r="AO952" s="145"/>
      <c r="AP952" s="145"/>
      <c r="AQ952" s="145"/>
    </row>
    <row r="953" spans="37:43">
      <c r="AK953" s="145"/>
      <c r="AL953" s="145"/>
      <c r="AM953" s="145"/>
      <c r="AN953" s="145"/>
      <c r="AO953" s="145"/>
      <c r="AP953" s="145"/>
      <c r="AQ953" s="145"/>
    </row>
    <row r="954" spans="37:43">
      <c r="AK954" s="145"/>
      <c r="AL954" s="145"/>
      <c r="AM954" s="145"/>
      <c r="AN954" s="145"/>
      <c r="AO954" s="145"/>
      <c r="AP954" s="145"/>
      <c r="AQ954" s="145"/>
    </row>
    <row r="955" spans="37:43">
      <c r="AK955" s="145"/>
      <c r="AL955" s="145"/>
      <c r="AM955" s="145"/>
      <c r="AN955" s="145"/>
      <c r="AO955" s="145"/>
      <c r="AP955" s="145"/>
      <c r="AQ955" s="145"/>
    </row>
    <row r="956" spans="37:43">
      <c r="AK956" s="145"/>
      <c r="AL956" s="145"/>
      <c r="AM956" s="145"/>
      <c r="AN956" s="145"/>
      <c r="AO956" s="145"/>
      <c r="AP956" s="145"/>
      <c r="AQ956" s="145"/>
    </row>
    <row r="957" spans="37:43">
      <c r="AK957" s="145"/>
      <c r="AL957" s="145"/>
      <c r="AM957" s="145"/>
      <c r="AN957" s="145"/>
      <c r="AO957" s="145"/>
      <c r="AP957" s="145"/>
      <c r="AQ957" s="145"/>
    </row>
    <row r="958" spans="37:43">
      <c r="AK958" s="145"/>
      <c r="AL958" s="145"/>
      <c r="AM958" s="145"/>
      <c r="AN958" s="145"/>
      <c r="AO958" s="145"/>
      <c r="AP958" s="145"/>
      <c r="AQ958" s="145"/>
    </row>
    <row r="959" spans="37:43">
      <c r="AK959" s="145"/>
      <c r="AL959" s="145"/>
      <c r="AM959" s="145"/>
      <c r="AN959" s="145"/>
      <c r="AO959" s="145"/>
      <c r="AP959" s="145"/>
      <c r="AQ959" s="145"/>
    </row>
    <row r="960" spans="37:43">
      <c r="AK960" s="145"/>
      <c r="AL960" s="145"/>
      <c r="AM960" s="145"/>
      <c r="AN960" s="145"/>
      <c r="AO960" s="145"/>
      <c r="AP960" s="145"/>
      <c r="AQ960" s="145"/>
    </row>
    <row r="961" spans="37:43">
      <c r="AK961" s="145"/>
      <c r="AL961" s="145"/>
      <c r="AM961" s="145"/>
      <c r="AN961" s="145"/>
      <c r="AO961" s="145"/>
      <c r="AP961" s="145"/>
      <c r="AQ961" s="145"/>
    </row>
    <row r="962" spans="37:43">
      <c r="AK962" s="145"/>
      <c r="AL962" s="145"/>
      <c r="AM962" s="145"/>
      <c r="AN962" s="145"/>
      <c r="AO962" s="145"/>
      <c r="AP962" s="145"/>
      <c r="AQ962" s="145"/>
    </row>
    <row r="963" spans="37:43">
      <c r="AK963" s="145"/>
      <c r="AL963" s="145"/>
      <c r="AM963" s="145"/>
      <c r="AN963" s="145"/>
      <c r="AO963" s="145"/>
      <c r="AP963" s="145"/>
      <c r="AQ963" s="145"/>
    </row>
    <row r="964" spans="37:43">
      <c r="AK964" s="145"/>
      <c r="AL964" s="145"/>
      <c r="AM964" s="145"/>
      <c r="AN964" s="145"/>
      <c r="AO964" s="145"/>
      <c r="AP964" s="145"/>
      <c r="AQ964" s="145"/>
    </row>
    <row r="965" spans="37:43">
      <c r="AK965" s="145"/>
      <c r="AL965" s="145"/>
      <c r="AM965" s="145"/>
      <c r="AN965" s="145"/>
      <c r="AO965" s="145"/>
      <c r="AP965" s="145"/>
      <c r="AQ965" s="145"/>
    </row>
    <row r="966" spans="37:43">
      <c r="AK966" s="145"/>
      <c r="AL966" s="145"/>
      <c r="AM966" s="145"/>
      <c r="AN966" s="145"/>
      <c r="AO966" s="145"/>
      <c r="AP966" s="145"/>
      <c r="AQ966" s="145"/>
    </row>
    <row r="967" spans="37:43">
      <c r="AK967" s="145"/>
      <c r="AL967" s="145"/>
      <c r="AM967" s="145"/>
      <c r="AN967" s="145"/>
      <c r="AO967" s="145"/>
      <c r="AP967" s="145"/>
      <c r="AQ967" s="145"/>
    </row>
    <row r="968" spans="37:43">
      <c r="AK968" s="145"/>
      <c r="AL968" s="145"/>
      <c r="AM968" s="145"/>
      <c r="AN968" s="145"/>
      <c r="AO968" s="145"/>
      <c r="AP968" s="145"/>
      <c r="AQ968" s="145"/>
    </row>
    <row r="969" spans="37:43">
      <c r="AK969" s="145"/>
      <c r="AL969" s="145"/>
      <c r="AM969" s="145"/>
      <c r="AN969" s="145"/>
      <c r="AO969" s="145"/>
      <c r="AP969" s="145"/>
      <c r="AQ969" s="145"/>
    </row>
    <row r="970" spans="37:43">
      <c r="AK970" s="145"/>
      <c r="AL970" s="145"/>
      <c r="AM970" s="145"/>
      <c r="AN970" s="145"/>
      <c r="AO970" s="145"/>
      <c r="AP970" s="145"/>
      <c r="AQ970" s="145"/>
    </row>
    <row r="971" spans="37:43">
      <c r="AK971" s="145"/>
      <c r="AL971" s="145"/>
      <c r="AM971" s="145"/>
      <c r="AN971" s="145"/>
      <c r="AO971" s="145"/>
      <c r="AP971" s="145"/>
      <c r="AQ971" s="145"/>
    </row>
    <row r="972" spans="37:43">
      <c r="AK972" s="145"/>
      <c r="AL972" s="145"/>
      <c r="AM972" s="145"/>
      <c r="AN972" s="145"/>
      <c r="AO972" s="145"/>
      <c r="AP972" s="145"/>
      <c r="AQ972" s="145"/>
    </row>
    <row r="973" spans="37:43">
      <c r="AK973" s="145"/>
      <c r="AL973" s="145"/>
      <c r="AM973" s="145"/>
      <c r="AN973" s="145"/>
      <c r="AO973" s="145"/>
      <c r="AP973" s="145"/>
      <c r="AQ973" s="145"/>
    </row>
    <row r="974" spans="37:43">
      <c r="AK974" s="145"/>
      <c r="AL974" s="145"/>
      <c r="AM974" s="145"/>
      <c r="AN974" s="145"/>
      <c r="AO974" s="145"/>
      <c r="AP974" s="145"/>
      <c r="AQ974" s="145"/>
    </row>
    <row r="975" spans="37:43">
      <c r="AK975" s="145"/>
      <c r="AL975" s="145"/>
      <c r="AM975" s="145"/>
      <c r="AN975" s="145"/>
      <c r="AO975" s="145"/>
      <c r="AP975" s="145"/>
      <c r="AQ975" s="145"/>
    </row>
    <row r="976" spans="37:43">
      <c r="AK976" s="145"/>
      <c r="AL976" s="145"/>
      <c r="AM976" s="145"/>
      <c r="AN976" s="145"/>
      <c r="AO976" s="145"/>
      <c r="AP976" s="145"/>
      <c r="AQ976" s="145"/>
    </row>
    <row r="977" spans="37:43">
      <c r="AK977" s="145"/>
      <c r="AL977" s="145"/>
      <c r="AM977" s="145"/>
      <c r="AN977" s="145"/>
      <c r="AO977" s="145"/>
      <c r="AP977" s="145"/>
      <c r="AQ977" s="145"/>
    </row>
    <row r="978" spans="37:43">
      <c r="AK978" s="145"/>
      <c r="AL978" s="145"/>
      <c r="AM978" s="145"/>
      <c r="AN978" s="145"/>
      <c r="AO978" s="145"/>
      <c r="AP978" s="145"/>
      <c r="AQ978" s="145"/>
    </row>
    <row r="979" spans="37:43">
      <c r="AK979" s="145"/>
      <c r="AL979" s="145"/>
      <c r="AM979" s="145"/>
      <c r="AN979" s="145"/>
      <c r="AO979" s="145"/>
      <c r="AP979" s="145"/>
      <c r="AQ979" s="145"/>
    </row>
    <row r="980" spans="37:43">
      <c r="AK980" s="145"/>
      <c r="AL980" s="145"/>
      <c r="AM980" s="145"/>
      <c r="AN980" s="145"/>
      <c r="AO980" s="145"/>
      <c r="AP980" s="145"/>
      <c r="AQ980" s="145"/>
    </row>
    <row r="981" spans="37:43">
      <c r="AK981" s="145"/>
      <c r="AL981" s="145"/>
      <c r="AM981" s="145"/>
      <c r="AN981" s="145"/>
      <c r="AO981" s="145"/>
      <c r="AP981" s="145"/>
      <c r="AQ981" s="145"/>
    </row>
    <row r="982" spans="37:43">
      <c r="AK982" s="145"/>
      <c r="AL982" s="145"/>
      <c r="AM982" s="145"/>
      <c r="AN982" s="145"/>
      <c r="AO982" s="145"/>
      <c r="AP982" s="145"/>
      <c r="AQ982" s="145"/>
    </row>
    <row r="983" spans="37:43">
      <c r="AK983" s="145"/>
      <c r="AL983" s="145"/>
      <c r="AM983" s="145"/>
      <c r="AN983" s="145"/>
      <c r="AO983" s="145"/>
      <c r="AP983" s="145"/>
      <c r="AQ983" s="145"/>
    </row>
    <row r="984" spans="37:43">
      <c r="AK984" s="145"/>
      <c r="AL984" s="145"/>
      <c r="AM984" s="145"/>
      <c r="AN984" s="145"/>
      <c r="AO984" s="145"/>
      <c r="AP984" s="145"/>
      <c r="AQ984" s="145"/>
    </row>
    <row r="985" spans="37:43">
      <c r="AK985" s="145"/>
      <c r="AL985" s="145"/>
      <c r="AM985" s="145"/>
      <c r="AN985" s="145"/>
      <c r="AO985" s="145"/>
      <c r="AP985" s="145"/>
      <c r="AQ985" s="145"/>
    </row>
    <row r="986" spans="37:43">
      <c r="AK986" s="145"/>
      <c r="AL986" s="145"/>
      <c r="AM986" s="145"/>
      <c r="AN986" s="145"/>
      <c r="AO986" s="145"/>
      <c r="AP986" s="145"/>
      <c r="AQ986" s="145"/>
    </row>
    <row r="987" spans="37:43">
      <c r="AK987" s="145"/>
      <c r="AL987" s="145"/>
      <c r="AM987" s="145"/>
      <c r="AN987" s="145"/>
      <c r="AO987" s="145"/>
      <c r="AP987" s="145"/>
      <c r="AQ987" s="145"/>
    </row>
    <row r="988" spans="37:43">
      <c r="AK988" s="145"/>
      <c r="AL988" s="145"/>
      <c r="AM988" s="145"/>
      <c r="AN988" s="145"/>
      <c r="AO988" s="145"/>
      <c r="AP988" s="145"/>
      <c r="AQ988" s="145"/>
    </row>
    <row r="989" spans="37:43">
      <c r="AK989" s="145"/>
      <c r="AL989" s="145"/>
      <c r="AM989" s="145"/>
      <c r="AN989" s="145"/>
      <c r="AO989" s="145"/>
      <c r="AP989" s="145"/>
      <c r="AQ989" s="145"/>
    </row>
    <row r="990" spans="37:43">
      <c r="AK990" s="145"/>
      <c r="AL990" s="145"/>
      <c r="AM990" s="145"/>
      <c r="AN990" s="145"/>
      <c r="AO990" s="145"/>
      <c r="AP990" s="145"/>
      <c r="AQ990" s="145"/>
    </row>
    <row r="991" spans="37:43">
      <c r="AK991" s="145"/>
      <c r="AL991" s="145"/>
      <c r="AM991" s="145"/>
      <c r="AN991" s="145"/>
      <c r="AO991" s="145"/>
      <c r="AP991" s="145"/>
      <c r="AQ991" s="145"/>
    </row>
    <row r="992" spans="37:43">
      <c r="AK992" s="145"/>
      <c r="AL992" s="145"/>
      <c r="AM992" s="145"/>
      <c r="AN992" s="145"/>
      <c r="AO992" s="145"/>
      <c r="AP992" s="145"/>
      <c r="AQ992" s="145"/>
    </row>
    <row r="993" spans="37:43">
      <c r="AK993" s="145"/>
      <c r="AL993" s="145"/>
      <c r="AM993" s="145"/>
      <c r="AN993" s="145"/>
      <c r="AO993" s="145"/>
      <c r="AP993" s="145"/>
      <c r="AQ993" s="145"/>
    </row>
    <row r="994" spans="37:43">
      <c r="AK994" s="145"/>
      <c r="AL994" s="145"/>
      <c r="AM994" s="145"/>
      <c r="AN994" s="145"/>
      <c r="AO994" s="145"/>
      <c r="AP994" s="145"/>
      <c r="AQ994" s="145"/>
    </row>
    <row r="995" spans="37:43">
      <c r="AK995" s="145"/>
      <c r="AL995" s="145"/>
      <c r="AM995" s="145"/>
      <c r="AN995" s="145"/>
      <c r="AO995" s="145"/>
      <c r="AP995" s="145"/>
      <c r="AQ995" s="145"/>
    </row>
    <row r="996" spans="37:43">
      <c r="AK996" s="145"/>
      <c r="AL996" s="145"/>
      <c r="AM996" s="145"/>
      <c r="AN996" s="145"/>
      <c r="AO996" s="145"/>
      <c r="AP996" s="145"/>
      <c r="AQ996" s="145"/>
    </row>
    <row r="997" spans="37:43">
      <c r="AK997" s="145"/>
      <c r="AL997" s="145"/>
      <c r="AM997" s="145"/>
      <c r="AN997" s="145"/>
      <c r="AO997" s="145"/>
      <c r="AP997" s="145"/>
      <c r="AQ997" s="145"/>
    </row>
    <row r="998" spans="37:43">
      <c r="AK998" s="145"/>
      <c r="AL998" s="145"/>
      <c r="AM998" s="145"/>
      <c r="AN998" s="145"/>
      <c r="AO998" s="145"/>
      <c r="AP998" s="145"/>
      <c r="AQ998" s="145"/>
    </row>
    <row r="999" spans="37:43">
      <c r="AK999" s="145"/>
      <c r="AL999" s="145"/>
      <c r="AM999" s="145"/>
      <c r="AN999" s="145"/>
      <c r="AO999" s="145"/>
      <c r="AP999" s="145"/>
      <c r="AQ999" s="145"/>
    </row>
    <row r="1000" spans="37:43">
      <c r="AK1000" s="145"/>
      <c r="AL1000" s="145"/>
      <c r="AM1000" s="145"/>
      <c r="AN1000" s="145"/>
      <c r="AO1000" s="145"/>
      <c r="AP1000" s="145"/>
      <c r="AQ1000" s="145"/>
    </row>
    <row r="1001" spans="37:43">
      <c r="AK1001" s="145"/>
      <c r="AL1001" s="145"/>
      <c r="AM1001" s="145"/>
      <c r="AN1001" s="145"/>
      <c r="AO1001" s="145"/>
      <c r="AP1001" s="145"/>
      <c r="AQ1001" s="145"/>
    </row>
    <row r="1002" spans="37:43">
      <c r="AK1002" s="145"/>
      <c r="AL1002" s="145"/>
      <c r="AM1002" s="145"/>
      <c r="AN1002" s="145"/>
      <c r="AO1002" s="145"/>
      <c r="AP1002" s="145"/>
      <c r="AQ1002" s="145"/>
    </row>
    <row r="1003" spans="37:43">
      <c r="AK1003" s="145"/>
      <c r="AL1003" s="145"/>
      <c r="AM1003" s="145"/>
      <c r="AN1003" s="145"/>
      <c r="AO1003" s="145"/>
      <c r="AP1003" s="145"/>
      <c r="AQ1003" s="145"/>
    </row>
    <row r="1004" spans="37:43">
      <c r="AK1004" s="145"/>
      <c r="AL1004" s="145"/>
      <c r="AM1004" s="145"/>
      <c r="AN1004" s="145"/>
      <c r="AO1004" s="145"/>
      <c r="AP1004" s="145"/>
      <c r="AQ1004" s="145"/>
    </row>
    <row r="1005" spans="37:43">
      <c r="AK1005" s="145"/>
      <c r="AL1005" s="145"/>
      <c r="AM1005" s="145"/>
      <c r="AN1005" s="145"/>
      <c r="AO1005" s="145"/>
      <c r="AP1005" s="145"/>
      <c r="AQ1005" s="145"/>
    </row>
    <row r="1006" spans="37:43">
      <c r="AK1006" s="145"/>
      <c r="AL1006" s="145"/>
      <c r="AM1006" s="145"/>
      <c r="AN1006" s="145"/>
      <c r="AO1006" s="145"/>
      <c r="AP1006" s="145"/>
      <c r="AQ1006" s="145"/>
    </row>
    <row r="1007" spans="37:43">
      <c r="AK1007" s="145"/>
      <c r="AL1007" s="145"/>
      <c r="AM1007" s="145"/>
      <c r="AN1007" s="145"/>
      <c r="AO1007" s="145"/>
      <c r="AP1007" s="145"/>
      <c r="AQ1007" s="145"/>
    </row>
    <row r="1008" spans="37:43">
      <c r="AK1008" s="145"/>
      <c r="AL1008" s="145"/>
      <c r="AM1008" s="145"/>
      <c r="AN1008" s="145"/>
      <c r="AO1008" s="145"/>
      <c r="AP1008" s="145"/>
      <c r="AQ1008" s="145"/>
    </row>
    <row r="1009" spans="37:43">
      <c r="AK1009" s="145"/>
      <c r="AL1009" s="145"/>
      <c r="AM1009" s="145"/>
      <c r="AN1009" s="145"/>
      <c r="AO1009" s="145"/>
      <c r="AP1009" s="145"/>
      <c r="AQ1009" s="145"/>
    </row>
    <row r="1010" spans="37:43">
      <c r="AK1010" s="145"/>
      <c r="AL1010" s="145"/>
      <c r="AM1010" s="145"/>
      <c r="AN1010" s="145"/>
      <c r="AO1010" s="145"/>
      <c r="AP1010" s="145"/>
      <c r="AQ1010" s="145"/>
    </row>
    <row r="1011" spans="37:43">
      <c r="AK1011" s="145"/>
      <c r="AL1011" s="145"/>
      <c r="AM1011" s="145"/>
      <c r="AN1011" s="145"/>
      <c r="AO1011" s="145"/>
      <c r="AP1011" s="145"/>
      <c r="AQ1011" s="145"/>
    </row>
    <row r="1012" spans="37:43">
      <c r="AK1012" s="145"/>
      <c r="AL1012" s="145"/>
      <c r="AM1012" s="145"/>
      <c r="AN1012" s="145"/>
      <c r="AO1012" s="145"/>
      <c r="AP1012" s="145"/>
      <c r="AQ1012" s="145"/>
    </row>
    <row r="1013" spans="37:43">
      <c r="AK1013" s="145"/>
      <c r="AL1013" s="145"/>
      <c r="AM1013" s="145"/>
      <c r="AN1013" s="145"/>
      <c r="AO1013" s="145"/>
      <c r="AP1013" s="145"/>
      <c r="AQ1013" s="145"/>
    </row>
    <row r="1014" spans="37:43">
      <c r="AK1014" s="145"/>
      <c r="AL1014" s="145"/>
      <c r="AM1014" s="145"/>
      <c r="AN1014" s="145"/>
      <c r="AO1014" s="145"/>
      <c r="AP1014" s="145"/>
      <c r="AQ1014" s="145"/>
    </row>
    <row r="1015" spans="37:43">
      <c r="AK1015" s="145"/>
      <c r="AL1015" s="145"/>
      <c r="AM1015" s="145"/>
      <c r="AN1015" s="145"/>
      <c r="AO1015" s="145"/>
      <c r="AP1015" s="145"/>
      <c r="AQ1015" s="145"/>
    </row>
    <row r="1016" spans="37:43">
      <c r="AK1016" s="145"/>
      <c r="AL1016" s="145"/>
      <c r="AM1016" s="145"/>
      <c r="AN1016" s="145"/>
      <c r="AO1016" s="145"/>
      <c r="AP1016" s="145"/>
      <c r="AQ1016" s="145"/>
    </row>
    <row r="1017" spans="37:43">
      <c r="AK1017" s="145"/>
      <c r="AL1017" s="145"/>
      <c r="AM1017" s="145"/>
      <c r="AN1017" s="145"/>
      <c r="AO1017" s="145"/>
      <c r="AP1017" s="145"/>
      <c r="AQ1017" s="145"/>
    </row>
    <row r="1018" spans="37:43">
      <c r="AK1018" s="145"/>
      <c r="AL1018" s="145"/>
      <c r="AM1018" s="145"/>
      <c r="AN1018" s="145"/>
      <c r="AO1018" s="145"/>
      <c r="AP1018" s="145"/>
      <c r="AQ1018" s="145"/>
    </row>
    <row r="1019" spans="37:43">
      <c r="AK1019" s="145"/>
      <c r="AL1019" s="145"/>
      <c r="AM1019" s="145"/>
      <c r="AN1019" s="145"/>
      <c r="AO1019" s="145"/>
      <c r="AP1019" s="145"/>
      <c r="AQ1019" s="145"/>
    </row>
    <row r="1020" spans="37:43">
      <c r="AK1020" s="145"/>
      <c r="AL1020" s="145"/>
      <c r="AM1020" s="145"/>
      <c r="AN1020" s="145"/>
      <c r="AO1020" s="145"/>
      <c r="AP1020" s="145"/>
      <c r="AQ1020" s="145"/>
    </row>
    <row r="1021" spans="37:43">
      <c r="AK1021" s="145"/>
      <c r="AL1021" s="145"/>
      <c r="AM1021" s="145"/>
      <c r="AN1021" s="145"/>
      <c r="AO1021" s="145"/>
      <c r="AP1021" s="145"/>
      <c r="AQ1021" s="145"/>
    </row>
    <row r="1022" spans="37:43">
      <c r="AK1022" s="145"/>
      <c r="AL1022" s="145"/>
      <c r="AM1022" s="145"/>
      <c r="AN1022" s="145"/>
      <c r="AO1022" s="145"/>
      <c r="AP1022" s="145"/>
      <c r="AQ1022" s="145"/>
    </row>
    <row r="1023" spans="37:43">
      <c r="AK1023" s="145"/>
      <c r="AL1023" s="145"/>
      <c r="AM1023" s="145"/>
      <c r="AN1023" s="145"/>
      <c r="AO1023" s="145"/>
      <c r="AP1023" s="145"/>
      <c r="AQ1023" s="145"/>
    </row>
    <row r="1024" spans="37:43">
      <c r="AK1024" s="145"/>
      <c r="AL1024" s="145"/>
      <c r="AM1024" s="145"/>
      <c r="AN1024" s="145"/>
      <c r="AO1024" s="145"/>
      <c r="AP1024" s="145"/>
      <c r="AQ1024" s="145"/>
    </row>
    <row r="1025" spans="37:43">
      <c r="AK1025" s="145"/>
      <c r="AL1025" s="145"/>
      <c r="AM1025" s="145"/>
      <c r="AN1025" s="145"/>
      <c r="AO1025" s="145"/>
      <c r="AP1025" s="145"/>
      <c r="AQ1025" s="145"/>
    </row>
    <row r="1026" spans="37:43">
      <c r="AK1026" s="145"/>
      <c r="AL1026" s="145"/>
      <c r="AM1026" s="145"/>
      <c r="AN1026" s="145"/>
      <c r="AO1026" s="145"/>
      <c r="AP1026" s="145"/>
      <c r="AQ1026" s="145"/>
    </row>
    <row r="1027" spans="37:43">
      <c r="AK1027" s="145"/>
      <c r="AL1027" s="145"/>
      <c r="AM1027" s="145"/>
      <c r="AN1027" s="145"/>
      <c r="AO1027" s="145"/>
      <c r="AP1027" s="145"/>
      <c r="AQ1027" s="145"/>
    </row>
    <row r="1028" spans="37:43">
      <c r="AK1028" s="145"/>
      <c r="AL1028" s="145"/>
      <c r="AM1028" s="145"/>
      <c r="AN1028" s="145"/>
      <c r="AO1028" s="145"/>
      <c r="AP1028" s="145"/>
      <c r="AQ1028" s="145"/>
    </row>
    <row r="1029" spans="37:43">
      <c r="AK1029" s="145"/>
      <c r="AL1029" s="145"/>
      <c r="AM1029" s="145"/>
      <c r="AN1029" s="145"/>
      <c r="AO1029" s="145"/>
      <c r="AP1029" s="145"/>
      <c r="AQ1029" s="145"/>
    </row>
    <row r="1030" spans="37:43">
      <c r="AK1030" s="145"/>
      <c r="AL1030" s="145"/>
      <c r="AM1030" s="145"/>
      <c r="AN1030" s="145"/>
      <c r="AO1030" s="145"/>
      <c r="AP1030" s="145"/>
      <c r="AQ1030" s="145"/>
    </row>
    <row r="1031" spans="37:43">
      <c r="AK1031" s="145"/>
      <c r="AL1031" s="145"/>
      <c r="AM1031" s="145"/>
      <c r="AN1031" s="145"/>
      <c r="AO1031" s="145"/>
      <c r="AP1031" s="145"/>
      <c r="AQ1031" s="145"/>
    </row>
    <row r="1032" spans="37:43">
      <c r="AK1032" s="145"/>
      <c r="AL1032" s="145"/>
      <c r="AM1032" s="145"/>
      <c r="AN1032" s="145"/>
      <c r="AO1032" s="145"/>
      <c r="AP1032" s="145"/>
      <c r="AQ1032" s="145"/>
    </row>
    <row r="1033" spans="37:43">
      <c r="AK1033" s="145"/>
      <c r="AL1033" s="145"/>
      <c r="AM1033" s="145"/>
      <c r="AN1033" s="145"/>
      <c r="AO1033" s="145"/>
      <c r="AP1033" s="145"/>
      <c r="AQ1033" s="145"/>
    </row>
    <row r="1034" spans="37:43">
      <c r="AK1034" s="145"/>
      <c r="AL1034" s="145"/>
      <c r="AM1034" s="145"/>
      <c r="AN1034" s="145"/>
      <c r="AO1034" s="145"/>
      <c r="AP1034" s="145"/>
      <c r="AQ1034" s="145"/>
    </row>
    <row r="1035" spans="37:43">
      <c r="AK1035" s="145"/>
      <c r="AL1035" s="145"/>
      <c r="AM1035" s="145"/>
      <c r="AN1035" s="145"/>
      <c r="AO1035" s="145"/>
      <c r="AP1035" s="145"/>
      <c r="AQ1035" s="145"/>
    </row>
    <row r="1036" spans="37:43">
      <c r="AK1036" s="145"/>
      <c r="AL1036" s="145"/>
      <c r="AM1036" s="145"/>
      <c r="AN1036" s="145"/>
      <c r="AO1036" s="145"/>
      <c r="AP1036" s="145"/>
      <c r="AQ1036" s="145"/>
    </row>
    <row r="1037" spans="37:43">
      <c r="AK1037" s="145"/>
      <c r="AL1037" s="145"/>
      <c r="AM1037" s="145"/>
      <c r="AN1037" s="145"/>
      <c r="AO1037" s="145"/>
      <c r="AP1037" s="145"/>
      <c r="AQ1037" s="145"/>
    </row>
    <row r="1038" spans="37:43">
      <c r="AK1038" s="145"/>
      <c r="AL1038" s="145"/>
      <c r="AM1038" s="145"/>
      <c r="AN1038" s="145"/>
      <c r="AO1038" s="145"/>
      <c r="AP1038" s="145"/>
      <c r="AQ1038" s="145"/>
    </row>
    <row r="1039" spans="37:43">
      <c r="AK1039" s="145"/>
      <c r="AL1039" s="145"/>
      <c r="AM1039" s="145"/>
      <c r="AN1039" s="145"/>
      <c r="AO1039" s="145"/>
      <c r="AP1039" s="145"/>
      <c r="AQ1039" s="145"/>
    </row>
    <row r="1040" spans="37:43">
      <c r="AK1040" s="145"/>
      <c r="AL1040" s="145"/>
      <c r="AM1040" s="145"/>
      <c r="AN1040" s="145"/>
      <c r="AO1040" s="145"/>
      <c r="AP1040" s="145"/>
      <c r="AQ1040" s="145"/>
    </row>
    <row r="1041" spans="37:43">
      <c r="AK1041" s="145"/>
      <c r="AL1041" s="145"/>
      <c r="AM1041" s="145"/>
      <c r="AN1041" s="145"/>
      <c r="AO1041" s="145"/>
      <c r="AP1041" s="145"/>
      <c r="AQ1041" s="145"/>
    </row>
    <row r="1042" spans="37:43">
      <c r="AK1042" s="145"/>
      <c r="AL1042" s="145"/>
      <c r="AM1042" s="145"/>
      <c r="AN1042" s="145"/>
      <c r="AO1042" s="145"/>
      <c r="AP1042" s="145"/>
      <c r="AQ1042" s="145"/>
    </row>
    <row r="1043" spans="37:43">
      <c r="AK1043" s="145"/>
      <c r="AL1043" s="145"/>
      <c r="AM1043" s="145"/>
      <c r="AN1043" s="145"/>
      <c r="AO1043" s="145"/>
      <c r="AP1043" s="145"/>
      <c r="AQ1043" s="145"/>
    </row>
    <row r="1044" spans="37:43">
      <c r="AK1044" s="145"/>
      <c r="AL1044" s="145"/>
      <c r="AM1044" s="145"/>
      <c r="AN1044" s="145"/>
      <c r="AO1044" s="145"/>
      <c r="AP1044" s="145"/>
      <c r="AQ1044" s="145"/>
    </row>
    <row r="1045" spans="37:43">
      <c r="AK1045" s="145"/>
      <c r="AL1045" s="145"/>
      <c r="AM1045" s="145"/>
      <c r="AN1045" s="145"/>
      <c r="AO1045" s="145"/>
      <c r="AP1045" s="145"/>
      <c r="AQ1045" s="145"/>
    </row>
    <row r="1046" spans="37:43">
      <c r="AK1046" s="145"/>
      <c r="AL1046" s="145"/>
      <c r="AM1046" s="145"/>
      <c r="AN1046" s="145"/>
      <c r="AO1046" s="145"/>
      <c r="AP1046" s="145"/>
      <c r="AQ1046" s="145"/>
    </row>
    <row r="1047" spans="37:43">
      <c r="AK1047" s="145"/>
      <c r="AL1047" s="145"/>
      <c r="AM1047" s="145"/>
      <c r="AN1047" s="145"/>
      <c r="AO1047" s="145"/>
      <c r="AP1047" s="145"/>
      <c r="AQ1047" s="145"/>
    </row>
    <row r="1048" spans="37:43">
      <c r="AK1048" s="145"/>
      <c r="AL1048" s="145"/>
      <c r="AM1048" s="145"/>
      <c r="AN1048" s="145"/>
      <c r="AO1048" s="145"/>
      <c r="AP1048" s="145"/>
      <c r="AQ1048" s="145"/>
    </row>
    <row r="1049" spans="37:43">
      <c r="AK1049" s="145"/>
      <c r="AL1049" s="145"/>
      <c r="AM1049" s="145"/>
      <c r="AN1049" s="145"/>
      <c r="AO1049" s="145"/>
      <c r="AP1049" s="145"/>
      <c r="AQ1049" s="145"/>
    </row>
    <row r="1050" spans="37:43">
      <c r="AK1050" s="145"/>
      <c r="AL1050" s="145"/>
      <c r="AM1050" s="145"/>
      <c r="AN1050" s="145"/>
      <c r="AO1050" s="145"/>
      <c r="AP1050" s="145"/>
      <c r="AQ1050" s="145"/>
    </row>
    <row r="1051" spans="37:43">
      <c r="AK1051" s="145"/>
      <c r="AL1051" s="145"/>
      <c r="AM1051" s="145"/>
      <c r="AN1051" s="145"/>
      <c r="AO1051" s="145"/>
      <c r="AP1051" s="145"/>
      <c r="AQ1051" s="145"/>
    </row>
    <row r="1052" spans="37:43">
      <c r="AK1052" s="145"/>
      <c r="AL1052" s="145"/>
      <c r="AM1052" s="145"/>
      <c r="AN1052" s="145"/>
      <c r="AO1052" s="145"/>
      <c r="AP1052" s="145"/>
      <c r="AQ1052" s="145"/>
    </row>
    <row r="1053" spans="37:43">
      <c r="AK1053" s="145"/>
      <c r="AL1053" s="145"/>
      <c r="AM1053" s="145"/>
      <c r="AN1053" s="145"/>
      <c r="AO1053" s="145"/>
      <c r="AP1053" s="145"/>
      <c r="AQ1053" s="145"/>
    </row>
    <row r="1054" spans="37:43">
      <c r="AK1054" s="145"/>
      <c r="AL1054" s="145"/>
      <c r="AM1054" s="145"/>
      <c r="AN1054" s="145"/>
      <c r="AO1054" s="145"/>
      <c r="AP1054" s="145"/>
      <c r="AQ1054" s="145"/>
    </row>
    <row r="1055" spans="37:43">
      <c r="AK1055" s="145"/>
      <c r="AL1055" s="145"/>
      <c r="AM1055" s="145"/>
      <c r="AN1055" s="145"/>
      <c r="AO1055" s="145"/>
      <c r="AP1055" s="145"/>
      <c r="AQ1055" s="145"/>
    </row>
    <row r="1056" spans="37:43">
      <c r="AK1056" s="145"/>
      <c r="AL1056" s="145"/>
      <c r="AM1056" s="145"/>
      <c r="AN1056" s="145"/>
      <c r="AO1056" s="145"/>
      <c r="AP1056" s="145"/>
      <c r="AQ1056" s="145"/>
    </row>
    <row r="1057" spans="37:43">
      <c r="AK1057" s="145"/>
      <c r="AL1057" s="145"/>
      <c r="AM1057" s="145"/>
      <c r="AN1057" s="145"/>
      <c r="AO1057" s="145"/>
      <c r="AP1057" s="145"/>
      <c r="AQ1057" s="145"/>
    </row>
    <row r="1058" spans="37:43">
      <c r="AK1058" s="145"/>
      <c r="AL1058" s="145"/>
      <c r="AM1058" s="145"/>
      <c r="AN1058" s="145"/>
      <c r="AO1058" s="145"/>
      <c r="AP1058" s="145"/>
      <c r="AQ1058" s="145"/>
    </row>
    <row r="1059" spans="37:43">
      <c r="AK1059" s="145"/>
      <c r="AL1059" s="145"/>
      <c r="AM1059" s="145"/>
      <c r="AN1059" s="145"/>
      <c r="AO1059" s="145"/>
      <c r="AP1059" s="145"/>
      <c r="AQ1059" s="145"/>
    </row>
    <row r="1060" spans="37:43">
      <c r="AK1060" s="145"/>
      <c r="AL1060" s="145"/>
      <c r="AM1060" s="145"/>
      <c r="AN1060" s="145"/>
      <c r="AO1060" s="145"/>
      <c r="AP1060" s="145"/>
      <c r="AQ1060" s="145"/>
    </row>
    <row r="1061" spans="37:43">
      <c r="AK1061" s="145"/>
      <c r="AL1061" s="145"/>
      <c r="AM1061" s="145"/>
      <c r="AN1061" s="145"/>
      <c r="AO1061" s="145"/>
      <c r="AP1061" s="145"/>
      <c r="AQ1061" s="145"/>
    </row>
    <row r="1062" spans="37:43">
      <c r="AK1062" s="145"/>
      <c r="AL1062" s="145"/>
      <c r="AM1062" s="145"/>
      <c r="AN1062" s="145"/>
      <c r="AO1062" s="145"/>
      <c r="AP1062" s="145"/>
      <c r="AQ1062" s="145"/>
    </row>
    <row r="1063" spans="37:43">
      <c r="AK1063" s="145"/>
      <c r="AL1063" s="145"/>
      <c r="AM1063" s="145"/>
      <c r="AN1063" s="145"/>
      <c r="AO1063" s="145"/>
      <c r="AP1063" s="145"/>
      <c r="AQ1063" s="145"/>
    </row>
    <row r="1064" spans="37:43">
      <c r="AK1064" s="145"/>
      <c r="AL1064" s="145"/>
      <c r="AM1064" s="145"/>
      <c r="AN1064" s="145"/>
      <c r="AO1064" s="145"/>
      <c r="AP1064" s="145"/>
      <c r="AQ1064" s="145"/>
    </row>
    <row r="1065" spans="37:43">
      <c r="AK1065" s="145"/>
      <c r="AL1065" s="145"/>
      <c r="AM1065" s="145"/>
      <c r="AN1065" s="145"/>
      <c r="AO1065" s="145"/>
      <c r="AP1065" s="145"/>
      <c r="AQ1065" s="145"/>
    </row>
    <row r="1066" spans="37:43">
      <c r="AK1066" s="145"/>
      <c r="AL1066" s="145"/>
      <c r="AM1066" s="145"/>
      <c r="AN1066" s="145"/>
      <c r="AO1066" s="145"/>
      <c r="AP1066" s="145"/>
      <c r="AQ1066" s="145"/>
    </row>
    <row r="1067" spans="37:43">
      <c r="AK1067" s="145"/>
      <c r="AL1067" s="145"/>
      <c r="AM1067" s="145"/>
      <c r="AN1067" s="145"/>
      <c r="AO1067" s="145"/>
      <c r="AP1067" s="145"/>
      <c r="AQ1067" s="145"/>
    </row>
    <row r="1068" spans="37:43">
      <c r="AK1068" s="145"/>
      <c r="AL1068" s="145"/>
      <c r="AM1068" s="145"/>
      <c r="AN1068" s="145"/>
      <c r="AO1068" s="145"/>
      <c r="AP1068" s="145"/>
      <c r="AQ1068" s="145"/>
    </row>
    <row r="1069" spans="37:43">
      <c r="AK1069" s="145"/>
      <c r="AL1069" s="145"/>
      <c r="AM1069" s="145"/>
      <c r="AN1069" s="145"/>
      <c r="AO1069" s="145"/>
      <c r="AP1069" s="145"/>
      <c r="AQ1069" s="145"/>
    </row>
    <row r="1070" spans="37:43">
      <c r="AK1070" s="145"/>
      <c r="AL1070" s="145"/>
      <c r="AM1070" s="145"/>
      <c r="AN1070" s="145"/>
      <c r="AO1070" s="145"/>
      <c r="AP1070" s="145"/>
      <c r="AQ1070" s="145"/>
    </row>
    <row r="1071" spans="37:43">
      <c r="AK1071" s="145"/>
      <c r="AL1071" s="145"/>
      <c r="AM1071" s="145"/>
      <c r="AN1071" s="145"/>
      <c r="AO1071" s="145"/>
      <c r="AP1071" s="145"/>
      <c r="AQ1071" s="145"/>
    </row>
    <row r="1072" spans="37:43">
      <c r="AK1072" s="145"/>
      <c r="AL1072" s="145"/>
      <c r="AM1072" s="145"/>
      <c r="AN1072" s="145"/>
      <c r="AO1072" s="145"/>
      <c r="AP1072" s="145"/>
      <c r="AQ1072" s="145"/>
    </row>
    <row r="1073" spans="37:43">
      <c r="AK1073" s="145"/>
      <c r="AL1073" s="145"/>
      <c r="AM1073" s="145"/>
      <c r="AN1073" s="145"/>
      <c r="AO1073" s="145"/>
      <c r="AP1073" s="145"/>
      <c r="AQ1073" s="145"/>
    </row>
    <row r="1074" spans="37:43">
      <c r="AK1074" s="145"/>
      <c r="AL1074" s="145"/>
      <c r="AM1074" s="145"/>
      <c r="AN1074" s="145"/>
      <c r="AO1074" s="145"/>
      <c r="AP1074" s="145"/>
      <c r="AQ1074" s="145"/>
    </row>
    <row r="1075" spans="37:43">
      <c r="AK1075" s="145"/>
      <c r="AL1075" s="145"/>
      <c r="AM1075" s="145"/>
      <c r="AN1075" s="145"/>
      <c r="AO1075" s="145"/>
      <c r="AP1075" s="145"/>
      <c r="AQ1075" s="145"/>
    </row>
    <row r="1076" spans="37:43">
      <c r="AK1076" s="145"/>
      <c r="AL1076" s="145"/>
      <c r="AM1076" s="145"/>
      <c r="AN1076" s="145"/>
      <c r="AO1076" s="145"/>
      <c r="AP1076" s="145"/>
      <c r="AQ1076" s="145"/>
    </row>
    <row r="1077" spans="37:43">
      <c r="AK1077" s="145"/>
      <c r="AL1077" s="145"/>
      <c r="AM1077" s="145"/>
      <c r="AN1077" s="145"/>
      <c r="AO1077" s="145"/>
      <c r="AP1077" s="145"/>
      <c r="AQ1077" s="145"/>
    </row>
    <row r="1078" spans="37:43">
      <c r="AK1078" s="145"/>
      <c r="AL1078" s="145"/>
      <c r="AM1078" s="145"/>
      <c r="AN1078" s="145"/>
      <c r="AO1078" s="145"/>
      <c r="AP1078" s="145"/>
      <c r="AQ1078" s="145"/>
    </row>
    <row r="1079" spans="37:43">
      <c r="AK1079" s="145"/>
      <c r="AL1079" s="145"/>
      <c r="AM1079" s="145"/>
      <c r="AN1079" s="145"/>
      <c r="AO1079" s="145"/>
      <c r="AP1079" s="145"/>
      <c r="AQ1079" s="145"/>
    </row>
    <row r="1080" spans="37:43">
      <c r="AK1080" s="145"/>
      <c r="AL1080" s="145"/>
      <c r="AM1080" s="145"/>
      <c r="AN1080" s="145"/>
      <c r="AO1080" s="145"/>
      <c r="AP1080" s="145"/>
      <c r="AQ1080" s="145"/>
    </row>
    <row r="1081" spans="37:43">
      <c r="AK1081" s="145"/>
      <c r="AL1081" s="145"/>
      <c r="AM1081" s="145"/>
      <c r="AN1081" s="145"/>
      <c r="AO1081" s="145"/>
      <c r="AP1081" s="145"/>
      <c r="AQ1081" s="145"/>
    </row>
    <row r="1082" spans="37:43">
      <c r="AK1082" s="145"/>
      <c r="AL1082" s="145"/>
      <c r="AM1082" s="145"/>
      <c r="AN1082" s="145"/>
      <c r="AO1082" s="145"/>
      <c r="AP1082" s="145"/>
      <c r="AQ1082" s="145"/>
    </row>
    <row r="1083" spans="37:43">
      <c r="AK1083" s="145"/>
      <c r="AL1083" s="145"/>
      <c r="AM1083" s="145"/>
      <c r="AN1083" s="145"/>
      <c r="AO1083" s="145"/>
      <c r="AP1083" s="145"/>
      <c r="AQ1083" s="145"/>
    </row>
    <row r="1084" spans="37:43">
      <c r="AK1084" s="145"/>
      <c r="AL1084" s="145"/>
      <c r="AM1084" s="145"/>
      <c r="AN1084" s="145"/>
      <c r="AO1084" s="145"/>
      <c r="AP1084" s="145"/>
      <c r="AQ1084" s="145"/>
    </row>
    <row r="1085" spans="37:43">
      <c r="AK1085" s="145"/>
      <c r="AL1085" s="145"/>
      <c r="AM1085" s="145"/>
      <c r="AN1085" s="145"/>
      <c r="AO1085" s="145"/>
      <c r="AP1085" s="145"/>
      <c r="AQ1085" s="145"/>
    </row>
    <row r="1086" spans="37:43">
      <c r="AK1086" s="145"/>
      <c r="AL1086" s="145"/>
      <c r="AM1086" s="145"/>
      <c r="AN1086" s="145"/>
      <c r="AO1086" s="145"/>
      <c r="AP1086" s="145"/>
      <c r="AQ1086" s="145"/>
    </row>
    <row r="1087" spans="37:43">
      <c r="AK1087" s="145"/>
      <c r="AL1087" s="145"/>
      <c r="AM1087" s="145"/>
      <c r="AN1087" s="145"/>
      <c r="AO1087" s="145"/>
      <c r="AP1087" s="145"/>
      <c r="AQ1087" s="145"/>
    </row>
    <row r="1088" spans="37:43">
      <c r="AK1088" s="145"/>
      <c r="AL1088" s="145"/>
      <c r="AM1088" s="145"/>
      <c r="AN1088" s="145"/>
      <c r="AO1088" s="145"/>
      <c r="AP1088" s="145"/>
      <c r="AQ1088" s="145"/>
    </row>
    <row r="1089" spans="37:43">
      <c r="AK1089" s="145"/>
      <c r="AL1089" s="145"/>
      <c r="AM1089" s="145"/>
      <c r="AN1089" s="145"/>
      <c r="AO1089" s="145"/>
      <c r="AP1089" s="145"/>
      <c r="AQ1089" s="145"/>
    </row>
    <row r="1090" spans="37:43">
      <c r="AK1090" s="145"/>
      <c r="AL1090" s="145"/>
      <c r="AM1090" s="145"/>
      <c r="AN1090" s="145"/>
      <c r="AO1090" s="145"/>
      <c r="AP1090" s="145"/>
      <c r="AQ1090" s="145"/>
    </row>
    <row r="1091" spans="37:43">
      <c r="AK1091" s="145"/>
      <c r="AL1091" s="145"/>
      <c r="AM1091" s="145"/>
      <c r="AN1091" s="145"/>
      <c r="AO1091" s="145"/>
      <c r="AP1091" s="145"/>
      <c r="AQ1091" s="145"/>
    </row>
    <row r="1092" spans="37:43">
      <c r="AK1092" s="145"/>
      <c r="AL1092" s="145"/>
      <c r="AM1092" s="145"/>
      <c r="AN1092" s="145"/>
      <c r="AO1092" s="145"/>
      <c r="AP1092" s="145"/>
      <c r="AQ1092" s="145"/>
    </row>
    <row r="1093" spans="37:43">
      <c r="AK1093" s="145"/>
      <c r="AL1093" s="145"/>
      <c r="AM1093" s="145"/>
      <c r="AN1093" s="145"/>
      <c r="AO1093" s="145"/>
      <c r="AP1093" s="145"/>
      <c r="AQ1093" s="145"/>
    </row>
    <row r="1094" spans="37:43">
      <c r="AK1094" s="145"/>
      <c r="AL1094" s="145"/>
      <c r="AM1094" s="145"/>
      <c r="AN1094" s="145"/>
      <c r="AO1094" s="145"/>
      <c r="AP1094" s="145"/>
      <c r="AQ1094" s="145"/>
    </row>
    <row r="1095" spans="37:43">
      <c r="AK1095" s="145"/>
      <c r="AL1095" s="145"/>
      <c r="AM1095" s="145"/>
      <c r="AN1095" s="145"/>
      <c r="AO1095" s="145"/>
      <c r="AP1095" s="145"/>
      <c r="AQ1095" s="145"/>
    </row>
    <row r="1096" spans="37:43">
      <c r="AK1096" s="145"/>
      <c r="AL1096" s="145"/>
      <c r="AM1096" s="145"/>
      <c r="AN1096" s="145"/>
      <c r="AO1096" s="145"/>
      <c r="AP1096" s="145"/>
      <c r="AQ1096" s="145"/>
    </row>
    <row r="1097" spans="37:43">
      <c r="AK1097" s="145"/>
      <c r="AL1097" s="145"/>
      <c r="AM1097" s="145"/>
      <c r="AN1097" s="145"/>
      <c r="AO1097" s="145"/>
      <c r="AP1097" s="145"/>
      <c r="AQ1097" s="145"/>
    </row>
    <row r="1098" spans="37:43">
      <c r="AK1098" s="145"/>
      <c r="AL1098" s="145"/>
      <c r="AM1098" s="145"/>
      <c r="AN1098" s="145"/>
      <c r="AO1098" s="145"/>
      <c r="AP1098" s="145"/>
      <c r="AQ1098" s="145"/>
    </row>
    <row r="1099" spans="37:43">
      <c r="AK1099" s="145"/>
      <c r="AL1099" s="145"/>
      <c r="AM1099" s="145"/>
      <c r="AN1099" s="145"/>
      <c r="AO1099" s="145"/>
      <c r="AP1099" s="145"/>
      <c r="AQ1099" s="145"/>
    </row>
    <row r="1100" spans="37:43">
      <c r="AK1100" s="145"/>
      <c r="AL1100" s="145"/>
      <c r="AM1100" s="145"/>
      <c r="AN1100" s="145"/>
      <c r="AO1100" s="145"/>
      <c r="AP1100" s="145"/>
      <c r="AQ1100" s="145"/>
    </row>
    <row r="1101" spans="37:43">
      <c r="AK1101" s="145"/>
      <c r="AL1101" s="145"/>
      <c r="AM1101" s="145"/>
      <c r="AN1101" s="145"/>
      <c r="AO1101" s="145"/>
      <c r="AP1101" s="145"/>
      <c r="AQ1101" s="145"/>
    </row>
    <row r="1102" spans="37:43">
      <c r="AK1102" s="145"/>
      <c r="AL1102" s="145"/>
      <c r="AM1102" s="145"/>
      <c r="AN1102" s="145"/>
      <c r="AO1102" s="145"/>
      <c r="AP1102" s="145"/>
      <c r="AQ1102" s="145"/>
    </row>
    <row r="1103" spans="37:43">
      <c r="AK1103" s="145"/>
      <c r="AL1103" s="145"/>
      <c r="AM1103" s="145"/>
      <c r="AN1103" s="145"/>
      <c r="AO1103" s="145"/>
      <c r="AP1103" s="145"/>
      <c r="AQ1103" s="145"/>
    </row>
    <row r="1104" spans="37:43">
      <c r="AK1104" s="145"/>
      <c r="AL1104" s="145"/>
      <c r="AM1104" s="145"/>
      <c r="AN1104" s="145"/>
      <c r="AO1104" s="145"/>
      <c r="AP1104" s="145"/>
      <c r="AQ1104" s="145"/>
    </row>
    <row r="1105" spans="37:43">
      <c r="AK1105" s="145"/>
      <c r="AL1105" s="145"/>
      <c r="AM1105" s="145"/>
      <c r="AN1105" s="145"/>
      <c r="AO1105" s="145"/>
      <c r="AP1105" s="145"/>
      <c r="AQ1105" s="145"/>
    </row>
    <row r="1106" spans="37:43">
      <c r="AK1106" s="145"/>
      <c r="AL1106" s="145"/>
      <c r="AM1106" s="145"/>
      <c r="AN1106" s="145"/>
      <c r="AO1106" s="145"/>
      <c r="AP1106" s="145"/>
      <c r="AQ1106" s="145"/>
    </row>
    <row r="1107" spans="37:43">
      <c r="AK1107" s="145"/>
      <c r="AL1107" s="145"/>
      <c r="AM1107" s="145"/>
      <c r="AN1107" s="145"/>
      <c r="AO1107" s="145"/>
      <c r="AP1107" s="145"/>
      <c r="AQ1107" s="145"/>
    </row>
    <row r="1108" spans="37:43">
      <c r="AK1108" s="145"/>
      <c r="AL1108" s="145"/>
      <c r="AM1108" s="145"/>
      <c r="AN1108" s="145"/>
      <c r="AO1108" s="145"/>
      <c r="AP1108" s="145"/>
      <c r="AQ1108" s="145"/>
    </row>
    <row r="1109" spans="37:43">
      <c r="AK1109" s="145"/>
      <c r="AL1109" s="145"/>
      <c r="AM1109" s="145"/>
      <c r="AN1109" s="145"/>
      <c r="AO1109" s="145"/>
      <c r="AP1109" s="145"/>
      <c r="AQ1109" s="145"/>
    </row>
    <row r="1110" spans="37:43">
      <c r="AK1110" s="145"/>
      <c r="AL1110" s="145"/>
      <c r="AM1110" s="145"/>
      <c r="AN1110" s="145"/>
      <c r="AO1110" s="145"/>
      <c r="AP1110" s="145"/>
      <c r="AQ1110" s="145"/>
    </row>
    <row r="1111" spans="37:43">
      <c r="AK1111" s="145"/>
      <c r="AL1111" s="145"/>
      <c r="AM1111" s="145"/>
      <c r="AN1111" s="145"/>
      <c r="AO1111" s="145"/>
      <c r="AP1111" s="145"/>
      <c r="AQ1111" s="145"/>
    </row>
    <row r="1112" spans="37:43">
      <c r="AK1112" s="145"/>
      <c r="AL1112" s="145"/>
      <c r="AM1112" s="145"/>
      <c r="AN1112" s="145"/>
      <c r="AO1112" s="145"/>
      <c r="AP1112" s="145"/>
      <c r="AQ1112" s="145"/>
    </row>
    <row r="1113" spans="37:43">
      <c r="AK1113" s="145"/>
      <c r="AL1113" s="145"/>
      <c r="AM1113" s="145"/>
      <c r="AN1113" s="145"/>
      <c r="AO1113" s="145"/>
      <c r="AP1113" s="145"/>
      <c r="AQ1113" s="145"/>
    </row>
    <row r="1114" spans="37:43">
      <c r="AK1114" s="145"/>
      <c r="AL1114" s="145"/>
      <c r="AM1114" s="145"/>
      <c r="AN1114" s="145"/>
      <c r="AO1114" s="145"/>
      <c r="AP1114" s="145"/>
      <c r="AQ1114" s="145"/>
    </row>
    <row r="1115" spans="37:43">
      <c r="AK1115" s="145"/>
      <c r="AL1115" s="145"/>
      <c r="AM1115" s="145"/>
      <c r="AN1115" s="145"/>
      <c r="AO1115" s="145"/>
      <c r="AP1115" s="145"/>
      <c r="AQ1115" s="145"/>
    </row>
    <row r="1116" spans="37:43">
      <c r="AK1116" s="145"/>
      <c r="AL1116" s="145"/>
      <c r="AM1116" s="145"/>
      <c r="AN1116" s="145"/>
      <c r="AO1116" s="145"/>
      <c r="AP1116" s="145"/>
      <c r="AQ1116" s="145"/>
    </row>
    <row r="1117" spans="37:43">
      <c r="AK1117" s="145"/>
      <c r="AL1117" s="145"/>
      <c r="AM1117" s="145"/>
      <c r="AN1117" s="145"/>
      <c r="AO1117" s="145"/>
      <c r="AP1117" s="145"/>
      <c r="AQ1117" s="145"/>
    </row>
    <row r="1118" spans="37:43">
      <c r="AK1118" s="145"/>
      <c r="AL1118" s="145"/>
      <c r="AM1118" s="145"/>
      <c r="AN1118" s="145"/>
      <c r="AO1118" s="145"/>
      <c r="AP1118" s="145"/>
      <c r="AQ1118" s="145"/>
    </row>
    <row r="1119" spans="37:43">
      <c r="AK1119" s="145"/>
      <c r="AL1119" s="145"/>
      <c r="AM1119" s="145"/>
      <c r="AN1119" s="145"/>
      <c r="AO1119" s="145"/>
      <c r="AP1119" s="145"/>
      <c r="AQ1119" s="145"/>
    </row>
    <row r="1120" spans="37:43">
      <c r="AK1120" s="145"/>
      <c r="AL1120" s="145"/>
      <c r="AM1120" s="145"/>
      <c r="AN1120" s="145"/>
      <c r="AO1120" s="145"/>
      <c r="AP1120" s="145"/>
      <c r="AQ1120" s="145"/>
    </row>
    <row r="1121" spans="37:43">
      <c r="AK1121" s="145"/>
      <c r="AL1121" s="145"/>
      <c r="AM1121" s="145"/>
      <c r="AN1121" s="145"/>
      <c r="AO1121" s="145"/>
      <c r="AP1121" s="145"/>
      <c r="AQ1121" s="145"/>
    </row>
    <row r="1122" spans="37:43">
      <c r="AK1122" s="145"/>
      <c r="AL1122" s="145"/>
      <c r="AM1122" s="145"/>
      <c r="AN1122" s="145"/>
      <c r="AO1122" s="145"/>
      <c r="AP1122" s="145"/>
      <c r="AQ1122" s="145"/>
    </row>
    <row r="1123" spans="37:43">
      <c r="AK1123" s="145"/>
      <c r="AL1123" s="145"/>
      <c r="AM1123" s="145"/>
      <c r="AN1123" s="145"/>
      <c r="AO1123" s="145"/>
      <c r="AP1123" s="145"/>
      <c r="AQ1123" s="145"/>
    </row>
    <row r="1124" spans="37:43">
      <c r="AK1124" s="145"/>
      <c r="AL1124" s="145"/>
      <c r="AM1124" s="145"/>
      <c r="AN1124" s="145"/>
      <c r="AO1124" s="145"/>
      <c r="AP1124" s="145"/>
      <c r="AQ1124" s="145"/>
    </row>
    <row r="1125" spans="37:43">
      <c r="AK1125" s="145"/>
      <c r="AL1125" s="145"/>
      <c r="AM1125" s="145"/>
      <c r="AN1125" s="145"/>
      <c r="AO1125" s="145"/>
      <c r="AP1125" s="145"/>
      <c r="AQ1125" s="145"/>
    </row>
    <row r="1126" spans="37:43">
      <c r="AK1126" s="145"/>
      <c r="AL1126" s="145"/>
      <c r="AM1126" s="145"/>
      <c r="AN1126" s="145"/>
      <c r="AO1126" s="145"/>
      <c r="AP1126" s="145"/>
      <c r="AQ1126" s="145"/>
    </row>
    <row r="1127" spans="37:43">
      <c r="AK1127" s="145"/>
      <c r="AL1127" s="145"/>
      <c r="AM1127" s="145"/>
      <c r="AN1127" s="145"/>
      <c r="AO1127" s="145"/>
      <c r="AP1127" s="145"/>
      <c r="AQ1127" s="145"/>
    </row>
    <row r="1128" spans="37:43">
      <c r="AK1128" s="145"/>
      <c r="AL1128" s="145"/>
      <c r="AM1128" s="145"/>
      <c r="AN1128" s="145"/>
      <c r="AO1128" s="145"/>
      <c r="AP1128" s="145"/>
      <c r="AQ1128" s="145"/>
    </row>
    <row r="1129" spans="37:43">
      <c r="AK1129" s="145"/>
      <c r="AL1129" s="145"/>
      <c r="AM1129" s="145"/>
      <c r="AN1129" s="145"/>
      <c r="AO1129" s="145"/>
      <c r="AP1129" s="145"/>
      <c r="AQ1129" s="145"/>
    </row>
    <row r="1130" spans="37:43">
      <c r="AK1130" s="145"/>
      <c r="AL1130" s="145"/>
      <c r="AM1130" s="145"/>
      <c r="AN1130" s="145"/>
      <c r="AO1130" s="145"/>
      <c r="AP1130" s="145"/>
      <c r="AQ1130" s="145"/>
    </row>
    <row r="1131" spans="37:43">
      <c r="AK1131" s="145"/>
      <c r="AL1131" s="145"/>
      <c r="AM1131" s="145"/>
      <c r="AN1131" s="145"/>
      <c r="AO1131" s="145"/>
      <c r="AP1131" s="145"/>
      <c r="AQ1131" s="145"/>
    </row>
    <row r="1132" spans="37:43">
      <c r="AK1132" s="145"/>
      <c r="AL1132" s="145"/>
      <c r="AM1132" s="145"/>
      <c r="AN1132" s="145"/>
      <c r="AO1132" s="145"/>
      <c r="AP1132" s="145"/>
      <c r="AQ1132" s="145"/>
    </row>
    <row r="1133" spans="37:43">
      <c r="AK1133" s="145"/>
      <c r="AL1133" s="145"/>
      <c r="AM1133" s="145"/>
      <c r="AN1133" s="145"/>
      <c r="AO1133" s="145"/>
      <c r="AP1133" s="145"/>
      <c r="AQ1133" s="145"/>
    </row>
    <row r="1134" spans="37:43">
      <c r="AK1134" s="145"/>
      <c r="AL1134" s="145"/>
      <c r="AM1134" s="145"/>
      <c r="AN1134" s="145"/>
      <c r="AO1134" s="145"/>
      <c r="AP1134" s="145"/>
      <c r="AQ1134" s="145"/>
    </row>
    <row r="1135" spans="37:43">
      <c r="AK1135" s="145"/>
      <c r="AL1135" s="145"/>
      <c r="AM1135" s="145"/>
      <c r="AN1135" s="145"/>
      <c r="AO1135" s="145"/>
      <c r="AP1135" s="145"/>
      <c r="AQ1135" s="145"/>
    </row>
    <row r="1136" spans="37:43">
      <c r="AK1136" s="145"/>
      <c r="AL1136" s="145"/>
      <c r="AM1136" s="145"/>
      <c r="AN1136" s="145"/>
      <c r="AO1136" s="145"/>
      <c r="AP1136" s="145"/>
      <c r="AQ1136" s="145"/>
    </row>
    <row r="1137" spans="37:43">
      <c r="AK1137" s="145"/>
      <c r="AL1137" s="145"/>
      <c r="AM1137" s="145"/>
      <c r="AN1137" s="145"/>
      <c r="AO1137" s="145"/>
      <c r="AP1137" s="145"/>
      <c r="AQ1137" s="145"/>
    </row>
    <row r="1138" spans="37:43">
      <c r="AK1138" s="145"/>
      <c r="AL1138" s="145"/>
      <c r="AM1138" s="145"/>
      <c r="AN1138" s="145"/>
      <c r="AO1138" s="145"/>
      <c r="AP1138" s="145"/>
      <c r="AQ1138" s="145"/>
    </row>
    <row r="1139" spans="37:43">
      <c r="AK1139" s="145"/>
      <c r="AL1139" s="145"/>
      <c r="AM1139" s="145"/>
      <c r="AN1139" s="145"/>
      <c r="AO1139" s="145"/>
      <c r="AP1139" s="145"/>
      <c r="AQ1139" s="145"/>
    </row>
    <row r="1140" spans="37:43">
      <c r="AK1140" s="145"/>
      <c r="AL1140" s="145"/>
      <c r="AM1140" s="145"/>
      <c r="AN1140" s="145"/>
      <c r="AO1140" s="145"/>
      <c r="AP1140" s="145"/>
      <c r="AQ1140" s="145"/>
    </row>
    <row r="1141" spans="37:43">
      <c r="AK1141" s="145"/>
      <c r="AL1141" s="145"/>
      <c r="AM1141" s="145"/>
      <c r="AN1141" s="145"/>
      <c r="AO1141" s="145"/>
      <c r="AP1141" s="145"/>
      <c r="AQ1141" s="145"/>
    </row>
    <row r="1142" spans="37:43">
      <c r="AK1142" s="145"/>
      <c r="AL1142" s="145"/>
      <c r="AM1142" s="145"/>
      <c r="AN1142" s="145"/>
      <c r="AO1142" s="145"/>
      <c r="AP1142" s="145"/>
      <c r="AQ1142" s="145"/>
    </row>
    <row r="1143" spans="37:43">
      <c r="AK1143" s="145"/>
      <c r="AL1143" s="145"/>
      <c r="AM1143" s="145"/>
      <c r="AN1143" s="145"/>
      <c r="AO1143" s="145"/>
      <c r="AP1143" s="145"/>
      <c r="AQ1143" s="145"/>
    </row>
    <row r="1144" spans="37:43">
      <c r="AK1144" s="145"/>
      <c r="AL1144" s="145"/>
      <c r="AM1144" s="145"/>
      <c r="AN1144" s="145"/>
      <c r="AO1144" s="145"/>
      <c r="AP1144" s="145"/>
      <c r="AQ1144" s="145"/>
    </row>
    <row r="1145" spans="37:43">
      <c r="AK1145" s="145"/>
      <c r="AL1145" s="145"/>
      <c r="AM1145" s="145"/>
      <c r="AN1145" s="145"/>
      <c r="AO1145" s="145"/>
      <c r="AP1145" s="145"/>
      <c r="AQ1145" s="145"/>
    </row>
    <row r="1146" spans="37:43">
      <c r="AK1146" s="145"/>
      <c r="AL1146" s="145"/>
      <c r="AM1146" s="145"/>
      <c r="AN1146" s="145"/>
      <c r="AO1146" s="145"/>
      <c r="AP1146" s="145"/>
      <c r="AQ1146" s="145"/>
    </row>
    <row r="1147" spans="37:43">
      <c r="AK1147" s="145"/>
      <c r="AL1147" s="145"/>
      <c r="AM1147" s="145"/>
      <c r="AN1147" s="145"/>
      <c r="AO1147" s="145"/>
      <c r="AP1147" s="145"/>
      <c r="AQ1147" s="145"/>
    </row>
    <row r="1148" spans="37:43">
      <c r="AK1148" s="145"/>
      <c r="AL1148" s="145"/>
      <c r="AM1148" s="145"/>
      <c r="AN1148" s="145"/>
      <c r="AO1148" s="145"/>
      <c r="AP1148" s="145"/>
      <c r="AQ1148" s="145"/>
    </row>
    <row r="1149" spans="37:43">
      <c r="AK1149" s="145"/>
      <c r="AL1149" s="145"/>
      <c r="AM1149" s="145"/>
      <c r="AN1149" s="145"/>
      <c r="AO1149" s="145"/>
      <c r="AP1149" s="145"/>
      <c r="AQ1149" s="145"/>
    </row>
    <row r="1150" spans="37:43">
      <c r="AK1150" s="145"/>
      <c r="AL1150" s="145"/>
      <c r="AM1150" s="145"/>
      <c r="AN1150" s="145"/>
      <c r="AO1150" s="145"/>
      <c r="AP1150" s="145"/>
      <c r="AQ1150" s="145"/>
    </row>
    <row r="1151" spans="37:43">
      <c r="AK1151" s="145"/>
      <c r="AL1151" s="145"/>
      <c r="AM1151" s="145"/>
      <c r="AN1151" s="145"/>
      <c r="AO1151" s="145"/>
      <c r="AP1151" s="145"/>
      <c r="AQ1151" s="145"/>
    </row>
    <row r="1152" spans="37:43">
      <c r="AK1152" s="145"/>
      <c r="AL1152" s="145"/>
      <c r="AM1152" s="145"/>
      <c r="AN1152" s="145"/>
      <c r="AO1152" s="145"/>
      <c r="AP1152" s="145"/>
      <c r="AQ1152" s="145"/>
    </row>
    <row r="1153" spans="37:43">
      <c r="AK1153" s="145"/>
      <c r="AL1153" s="145"/>
      <c r="AM1153" s="145"/>
      <c r="AN1153" s="145"/>
      <c r="AO1153" s="145"/>
      <c r="AP1153" s="145"/>
      <c r="AQ1153" s="145"/>
    </row>
    <row r="1154" spans="37:43">
      <c r="AK1154" s="145"/>
      <c r="AL1154" s="145"/>
      <c r="AM1154" s="145"/>
      <c r="AN1154" s="145"/>
      <c r="AO1154" s="145"/>
      <c r="AP1154" s="145"/>
      <c r="AQ1154" s="145"/>
    </row>
    <row r="1155" spans="37:43">
      <c r="AK1155" s="145"/>
      <c r="AL1155" s="145"/>
      <c r="AM1155" s="145"/>
      <c r="AN1155" s="145"/>
      <c r="AO1155" s="145"/>
      <c r="AP1155" s="145"/>
      <c r="AQ1155" s="145"/>
    </row>
    <row r="1156" spans="37:43">
      <c r="AK1156" s="145"/>
      <c r="AL1156" s="145"/>
      <c r="AM1156" s="145"/>
      <c r="AN1156" s="145"/>
      <c r="AO1156" s="145"/>
      <c r="AP1156" s="145"/>
      <c r="AQ1156" s="145"/>
    </row>
    <row r="1157" spans="37:43">
      <c r="AK1157" s="145"/>
      <c r="AL1157" s="145"/>
      <c r="AM1157" s="145"/>
      <c r="AN1157" s="145"/>
      <c r="AO1157" s="145"/>
      <c r="AP1157" s="145"/>
      <c r="AQ1157" s="145"/>
    </row>
    <row r="1158" spans="37:43">
      <c r="AK1158" s="145"/>
      <c r="AL1158" s="145"/>
      <c r="AM1158" s="145"/>
      <c r="AN1158" s="145"/>
      <c r="AO1158" s="145"/>
      <c r="AP1158" s="145"/>
      <c r="AQ1158" s="145"/>
    </row>
    <row r="1159" spans="37:43">
      <c r="AK1159" s="145"/>
      <c r="AL1159" s="145"/>
      <c r="AM1159" s="145"/>
      <c r="AN1159" s="145"/>
      <c r="AO1159" s="145"/>
      <c r="AP1159" s="145"/>
      <c r="AQ1159" s="145"/>
    </row>
    <row r="1160" spans="37:43">
      <c r="AK1160" s="145"/>
      <c r="AL1160" s="145"/>
      <c r="AM1160" s="145"/>
      <c r="AN1160" s="145"/>
      <c r="AO1160" s="145"/>
      <c r="AP1160" s="145"/>
      <c r="AQ1160" s="145"/>
    </row>
    <row r="1161" spans="37:43">
      <c r="AK1161" s="145"/>
      <c r="AL1161" s="145"/>
      <c r="AM1161" s="145"/>
      <c r="AN1161" s="145"/>
      <c r="AO1161" s="145"/>
      <c r="AP1161" s="145"/>
      <c r="AQ1161" s="145"/>
    </row>
    <row r="1162" spans="37:43">
      <c r="AK1162" s="145"/>
      <c r="AL1162" s="145"/>
      <c r="AM1162" s="145"/>
      <c r="AN1162" s="145"/>
      <c r="AO1162" s="145"/>
      <c r="AP1162" s="145"/>
      <c r="AQ1162" s="145"/>
    </row>
    <row r="1163" spans="37:43">
      <c r="AK1163" s="145"/>
      <c r="AL1163" s="145"/>
      <c r="AM1163" s="145"/>
      <c r="AN1163" s="145"/>
      <c r="AO1163" s="145"/>
      <c r="AP1163" s="145"/>
      <c r="AQ1163" s="145"/>
    </row>
    <row r="1164" spans="37:43">
      <c r="AK1164" s="145"/>
      <c r="AL1164" s="145"/>
      <c r="AM1164" s="145"/>
      <c r="AN1164" s="145"/>
      <c r="AO1164" s="145"/>
      <c r="AP1164" s="145"/>
      <c r="AQ1164" s="145"/>
    </row>
    <row r="1165" spans="37:43">
      <c r="AK1165" s="145"/>
      <c r="AL1165" s="145"/>
      <c r="AM1165" s="145"/>
      <c r="AN1165" s="145"/>
      <c r="AO1165" s="145"/>
      <c r="AP1165" s="145"/>
      <c r="AQ1165" s="145"/>
    </row>
    <row r="1166" spans="37:43">
      <c r="AK1166" s="145"/>
      <c r="AL1166" s="145"/>
      <c r="AM1166" s="145"/>
      <c r="AN1166" s="145"/>
      <c r="AO1166" s="145"/>
      <c r="AP1166" s="145"/>
      <c r="AQ1166" s="145"/>
    </row>
    <row r="1167" spans="37:43">
      <c r="AK1167" s="145"/>
      <c r="AL1167" s="145"/>
      <c r="AM1167" s="145"/>
      <c r="AN1167" s="145"/>
      <c r="AO1167" s="145"/>
      <c r="AP1167" s="145"/>
      <c r="AQ1167" s="145"/>
    </row>
    <row r="1168" spans="37:43">
      <c r="AK1168" s="145"/>
      <c r="AL1168" s="145"/>
      <c r="AM1168" s="145"/>
      <c r="AN1168" s="145"/>
      <c r="AO1168" s="145"/>
      <c r="AP1168" s="145"/>
      <c r="AQ1168" s="145"/>
    </row>
    <row r="1169" spans="37:43">
      <c r="AK1169" s="145"/>
      <c r="AL1169" s="145"/>
      <c r="AM1169" s="145"/>
      <c r="AN1169" s="145"/>
      <c r="AO1169" s="145"/>
      <c r="AP1169" s="145"/>
      <c r="AQ1169" s="145"/>
    </row>
    <row r="1170" spans="37:43">
      <c r="AK1170" s="145"/>
      <c r="AL1170" s="145"/>
      <c r="AM1170" s="145"/>
      <c r="AN1170" s="145"/>
      <c r="AO1170" s="145"/>
      <c r="AP1170" s="145"/>
      <c r="AQ1170" s="145"/>
    </row>
    <row r="1171" spans="37:43">
      <c r="AK1171" s="145"/>
      <c r="AL1171" s="145"/>
      <c r="AM1171" s="145"/>
      <c r="AN1171" s="145"/>
      <c r="AO1171" s="145"/>
      <c r="AP1171" s="145"/>
      <c r="AQ1171" s="145"/>
    </row>
    <row r="1172" spans="37:43">
      <c r="AK1172" s="145"/>
      <c r="AL1172" s="145"/>
      <c r="AM1172" s="145"/>
      <c r="AN1172" s="145"/>
      <c r="AO1172" s="145"/>
      <c r="AP1172" s="145"/>
      <c r="AQ1172" s="145"/>
    </row>
    <row r="1173" spans="37:43">
      <c r="AK1173" s="145"/>
      <c r="AL1173" s="145"/>
      <c r="AM1173" s="145"/>
      <c r="AN1173" s="145"/>
      <c r="AO1173" s="145"/>
      <c r="AP1173" s="145"/>
      <c r="AQ1173" s="145"/>
    </row>
    <row r="1174" spans="37:43">
      <c r="AK1174" s="145"/>
      <c r="AL1174" s="145"/>
      <c r="AM1174" s="145"/>
      <c r="AN1174" s="145"/>
      <c r="AO1174" s="145"/>
      <c r="AP1174" s="145"/>
      <c r="AQ1174" s="145"/>
    </row>
    <row r="1175" spans="37:43">
      <c r="AK1175" s="145"/>
      <c r="AL1175" s="145"/>
      <c r="AM1175" s="145"/>
      <c r="AN1175" s="145"/>
      <c r="AO1175" s="145"/>
      <c r="AP1175" s="145"/>
      <c r="AQ1175" s="145"/>
    </row>
    <row r="1176" spans="37:43">
      <c r="AK1176" s="145"/>
      <c r="AL1176" s="145"/>
      <c r="AM1176" s="145"/>
      <c r="AN1176" s="145"/>
      <c r="AO1176" s="145"/>
      <c r="AP1176" s="145"/>
      <c r="AQ1176" s="145"/>
    </row>
    <row r="1177" spans="37:43">
      <c r="AK1177" s="145"/>
      <c r="AL1177" s="145"/>
      <c r="AM1177" s="145"/>
      <c r="AN1177" s="145"/>
      <c r="AO1177" s="145"/>
      <c r="AP1177" s="145"/>
      <c r="AQ1177" s="145"/>
    </row>
    <row r="1178" spans="37:43">
      <c r="AK1178" s="145"/>
      <c r="AL1178" s="145"/>
      <c r="AM1178" s="145"/>
      <c r="AN1178" s="145"/>
      <c r="AO1178" s="145"/>
      <c r="AP1178" s="145"/>
      <c r="AQ1178" s="145"/>
    </row>
    <row r="1179" spans="37:43">
      <c r="AK1179" s="145"/>
      <c r="AL1179" s="145"/>
      <c r="AM1179" s="145"/>
      <c r="AN1179" s="145"/>
      <c r="AO1179" s="145"/>
      <c r="AP1179" s="145"/>
      <c r="AQ1179" s="145"/>
    </row>
    <row r="1180" spans="37:43">
      <c r="AK1180" s="145"/>
      <c r="AL1180" s="145"/>
      <c r="AM1180" s="145"/>
      <c r="AN1180" s="145"/>
      <c r="AO1180" s="145"/>
      <c r="AP1180" s="145"/>
      <c r="AQ1180" s="145"/>
    </row>
    <row r="1181" spans="37:43">
      <c r="AK1181" s="145"/>
      <c r="AL1181" s="145"/>
      <c r="AM1181" s="145"/>
      <c r="AN1181" s="145"/>
      <c r="AO1181" s="145"/>
      <c r="AP1181" s="145"/>
      <c r="AQ1181" s="145"/>
    </row>
    <row r="1182" spans="37:43">
      <c r="AK1182" s="145"/>
      <c r="AL1182" s="145"/>
      <c r="AM1182" s="145"/>
      <c r="AN1182" s="145"/>
      <c r="AO1182" s="145"/>
      <c r="AP1182" s="145"/>
      <c r="AQ1182" s="145"/>
    </row>
    <row r="1183" spans="37:43">
      <c r="AK1183" s="145"/>
      <c r="AL1183" s="145"/>
      <c r="AM1183" s="145"/>
      <c r="AN1183" s="145"/>
      <c r="AO1183" s="145"/>
      <c r="AP1183" s="145"/>
      <c r="AQ1183" s="145"/>
    </row>
    <row r="1184" spans="37:43">
      <c r="AK1184" s="145"/>
      <c r="AL1184" s="145"/>
      <c r="AM1184" s="145"/>
      <c r="AN1184" s="145"/>
      <c r="AO1184" s="145"/>
      <c r="AP1184" s="145"/>
      <c r="AQ1184" s="145"/>
    </row>
    <row r="1185" spans="37:43">
      <c r="AK1185" s="145"/>
      <c r="AL1185" s="145"/>
      <c r="AM1185" s="145"/>
      <c r="AN1185" s="145"/>
      <c r="AO1185" s="145"/>
      <c r="AP1185" s="145"/>
      <c r="AQ1185" s="145"/>
    </row>
    <row r="1186" spans="37:43">
      <c r="AK1186" s="145"/>
      <c r="AL1186" s="145"/>
      <c r="AM1186" s="145"/>
      <c r="AN1186" s="145"/>
      <c r="AO1186" s="145"/>
      <c r="AP1186" s="145"/>
      <c r="AQ1186" s="145"/>
    </row>
    <row r="1187" spans="37:43">
      <c r="AK1187" s="145"/>
      <c r="AL1187" s="145"/>
      <c r="AM1187" s="145"/>
      <c r="AN1187" s="145"/>
      <c r="AO1187" s="145"/>
      <c r="AP1187" s="145"/>
      <c r="AQ1187" s="145"/>
    </row>
    <row r="1188" spans="37:43">
      <c r="AK1188" s="145"/>
      <c r="AL1188" s="145"/>
      <c r="AM1188" s="145"/>
      <c r="AN1188" s="145"/>
      <c r="AO1188" s="145"/>
      <c r="AP1188" s="145"/>
      <c r="AQ1188" s="145"/>
    </row>
    <row r="1189" spans="37:43">
      <c r="AK1189" s="145"/>
      <c r="AL1189" s="145"/>
      <c r="AM1189" s="145"/>
      <c r="AN1189" s="145"/>
      <c r="AO1189" s="145"/>
      <c r="AP1189" s="145"/>
      <c r="AQ1189" s="145"/>
    </row>
    <row r="1190" spans="37:43">
      <c r="AK1190" s="145"/>
      <c r="AL1190" s="145"/>
      <c r="AM1190" s="145"/>
      <c r="AN1190" s="145"/>
      <c r="AO1190" s="145"/>
      <c r="AP1190" s="145"/>
      <c r="AQ1190" s="145"/>
    </row>
    <row r="1191" spans="37:43">
      <c r="AK1191" s="145"/>
      <c r="AL1191" s="145"/>
      <c r="AM1191" s="145"/>
      <c r="AN1191" s="145"/>
      <c r="AO1191" s="145"/>
      <c r="AP1191" s="145"/>
      <c r="AQ1191" s="145"/>
    </row>
    <row r="1192" spans="37:43">
      <c r="AK1192" s="145"/>
      <c r="AL1192" s="145"/>
      <c r="AM1192" s="145"/>
      <c r="AN1192" s="145"/>
      <c r="AO1192" s="145"/>
      <c r="AP1192" s="145"/>
      <c r="AQ1192" s="145"/>
    </row>
    <row r="1193" spans="37:43">
      <c r="AK1193" s="145"/>
      <c r="AL1193" s="145"/>
      <c r="AM1193" s="145"/>
      <c r="AN1193" s="145"/>
      <c r="AO1193" s="145"/>
      <c r="AP1193" s="145"/>
      <c r="AQ1193" s="145"/>
    </row>
    <row r="1194" spans="37:43">
      <c r="AK1194" s="145"/>
      <c r="AL1194" s="145"/>
      <c r="AM1194" s="145"/>
      <c r="AN1194" s="145"/>
      <c r="AO1194" s="145"/>
      <c r="AP1194" s="145"/>
      <c r="AQ1194" s="145"/>
    </row>
    <row r="1195" spans="37:43">
      <c r="AK1195" s="145"/>
      <c r="AL1195" s="145"/>
      <c r="AM1195" s="145"/>
      <c r="AN1195" s="145"/>
      <c r="AO1195" s="145"/>
      <c r="AP1195" s="145"/>
      <c r="AQ1195" s="145"/>
    </row>
    <row r="1196" spans="37:43">
      <c r="AK1196" s="145"/>
      <c r="AL1196" s="145"/>
      <c r="AM1196" s="145"/>
      <c r="AN1196" s="145"/>
      <c r="AO1196" s="145"/>
      <c r="AP1196" s="145"/>
      <c r="AQ1196" s="145"/>
    </row>
    <row r="1197" spans="37:43">
      <c r="AK1197" s="145"/>
      <c r="AL1197" s="145"/>
      <c r="AM1197" s="145"/>
      <c r="AN1197" s="145"/>
      <c r="AO1197" s="145"/>
      <c r="AP1197" s="145"/>
      <c r="AQ1197" s="145"/>
    </row>
    <row r="1198" spans="37:43">
      <c r="AK1198" s="145"/>
      <c r="AL1198" s="145"/>
      <c r="AM1198" s="145"/>
      <c r="AN1198" s="145"/>
      <c r="AO1198" s="145"/>
      <c r="AP1198" s="145"/>
      <c r="AQ1198" s="145"/>
    </row>
    <row r="1199" spans="37:43">
      <c r="AK1199" s="145"/>
      <c r="AL1199" s="145"/>
      <c r="AM1199" s="145"/>
      <c r="AN1199" s="145"/>
      <c r="AO1199" s="145"/>
      <c r="AP1199" s="145"/>
      <c r="AQ1199" s="145"/>
    </row>
    <row r="1200" spans="37:43">
      <c r="AK1200" s="145"/>
      <c r="AL1200" s="145"/>
      <c r="AM1200" s="145"/>
      <c r="AN1200" s="145"/>
      <c r="AO1200" s="145"/>
      <c r="AP1200" s="145"/>
      <c r="AQ1200" s="145"/>
    </row>
    <row r="1201" spans="37:43">
      <c r="AK1201" s="145"/>
      <c r="AL1201" s="145"/>
      <c r="AM1201" s="145"/>
      <c r="AN1201" s="145"/>
      <c r="AO1201" s="145"/>
      <c r="AP1201" s="145"/>
      <c r="AQ1201" s="145"/>
    </row>
    <row r="1202" spans="37:43">
      <c r="AK1202" s="145"/>
      <c r="AL1202" s="145"/>
      <c r="AM1202" s="145"/>
      <c r="AN1202" s="145"/>
      <c r="AO1202" s="145"/>
      <c r="AP1202" s="145"/>
      <c r="AQ1202" s="145"/>
    </row>
    <row r="1203" spans="37:43">
      <c r="AK1203" s="145"/>
      <c r="AL1203" s="145"/>
      <c r="AM1203" s="145"/>
      <c r="AN1203" s="145"/>
      <c r="AO1203" s="145"/>
      <c r="AP1203" s="145"/>
      <c r="AQ1203" s="145"/>
    </row>
    <row r="1204" spans="37:43">
      <c r="AK1204" s="145"/>
      <c r="AL1204" s="145"/>
      <c r="AM1204" s="145"/>
      <c r="AN1204" s="145"/>
      <c r="AO1204" s="145"/>
      <c r="AP1204" s="145"/>
      <c r="AQ1204" s="145"/>
    </row>
    <row r="1205" spans="37:43">
      <c r="AK1205" s="145"/>
      <c r="AL1205" s="145"/>
      <c r="AM1205" s="145"/>
      <c r="AN1205" s="145"/>
      <c r="AO1205" s="145"/>
      <c r="AP1205" s="145"/>
      <c r="AQ1205" s="145"/>
    </row>
    <row r="1206" spans="37:43">
      <c r="AK1206" s="145"/>
      <c r="AL1206" s="145"/>
      <c r="AM1206" s="145"/>
      <c r="AN1206" s="145"/>
      <c r="AO1206" s="145"/>
      <c r="AP1206" s="145"/>
      <c r="AQ1206" s="145"/>
    </row>
    <row r="1207" spans="37:43">
      <c r="AK1207" s="145"/>
      <c r="AL1207" s="145"/>
      <c r="AM1207" s="145"/>
      <c r="AN1207" s="145"/>
      <c r="AO1207" s="145"/>
      <c r="AP1207" s="145"/>
      <c r="AQ1207" s="145"/>
    </row>
    <row r="1208" spans="37:43">
      <c r="AK1208" s="145"/>
      <c r="AL1208" s="145"/>
      <c r="AM1208" s="145"/>
      <c r="AN1208" s="145"/>
      <c r="AO1208" s="145"/>
      <c r="AP1208" s="145"/>
      <c r="AQ1208" s="145"/>
    </row>
    <row r="1209" spans="37:43">
      <c r="AK1209" s="145"/>
      <c r="AL1209" s="145"/>
      <c r="AM1209" s="145"/>
      <c r="AN1209" s="145"/>
      <c r="AO1209" s="145"/>
      <c r="AP1209" s="145"/>
      <c r="AQ1209" s="145"/>
    </row>
    <row r="1210" spans="37:43">
      <c r="AK1210" s="145"/>
      <c r="AL1210" s="145"/>
      <c r="AM1210" s="145"/>
      <c r="AN1210" s="145"/>
      <c r="AO1210" s="145"/>
      <c r="AP1210" s="145"/>
      <c r="AQ1210" s="145"/>
    </row>
    <row r="1211" spans="37:43">
      <c r="AK1211" s="145"/>
      <c r="AL1211" s="145"/>
      <c r="AM1211" s="145"/>
      <c r="AN1211" s="145"/>
      <c r="AO1211" s="145"/>
      <c r="AP1211" s="145"/>
      <c r="AQ1211" s="145"/>
    </row>
    <row r="1212" spans="37:43">
      <c r="AK1212" s="145"/>
      <c r="AL1212" s="145"/>
      <c r="AM1212" s="145"/>
      <c r="AN1212" s="145"/>
      <c r="AO1212" s="145"/>
      <c r="AP1212" s="145"/>
      <c r="AQ1212" s="145"/>
    </row>
    <row r="1213" spans="37:43">
      <c r="AK1213" s="145"/>
      <c r="AL1213" s="145"/>
      <c r="AM1213" s="145"/>
      <c r="AN1213" s="145"/>
      <c r="AO1213" s="145"/>
      <c r="AP1213" s="145"/>
      <c r="AQ1213" s="145"/>
    </row>
    <row r="1214" spans="37:43">
      <c r="AK1214" s="145"/>
      <c r="AL1214" s="145"/>
      <c r="AM1214" s="145"/>
      <c r="AN1214" s="145"/>
      <c r="AO1214" s="145"/>
      <c r="AP1214" s="145"/>
      <c r="AQ1214" s="145"/>
    </row>
    <row r="1215" spans="37:43">
      <c r="AK1215" s="145"/>
      <c r="AL1215" s="145"/>
      <c r="AM1215" s="145"/>
      <c r="AN1215" s="145"/>
      <c r="AO1215" s="145"/>
      <c r="AP1215" s="145"/>
      <c r="AQ1215" s="145"/>
    </row>
    <row r="1216" spans="37:43">
      <c r="AK1216" s="145"/>
      <c r="AL1216" s="145"/>
      <c r="AM1216" s="145"/>
      <c r="AN1216" s="145"/>
      <c r="AO1216" s="145"/>
      <c r="AP1216" s="145"/>
      <c r="AQ1216" s="145"/>
    </row>
    <row r="1217" spans="37:43">
      <c r="AK1217" s="145"/>
      <c r="AL1217" s="145"/>
      <c r="AM1217" s="145"/>
      <c r="AN1217" s="145"/>
      <c r="AO1217" s="145"/>
      <c r="AP1217" s="145"/>
      <c r="AQ1217" s="145"/>
    </row>
    <row r="1218" spans="37:43">
      <c r="AK1218" s="145"/>
      <c r="AL1218" s="145"/>
      <c r="AM1218" s="145"/>
      <c r="AN1218" s="145"/>
      <c r="AO1218" s="145"/>
      <c r="AP1218" s="145"/>
      <c r="AQ1218" s="145"/>
    </row>
    <row r="1219" spans="37:43">
      <c r="AK1219" s="145"/>
      <c r="AL1219" s="145"/>
      <c r="AM1219" s="145"/>
      <c r="AN1219" s="145"/>
      <c r="AO1219" s="145"/>
      <c r="AP1219" s="145"/>
      <c r="AQ1219" s="145"/>
    </row>
    <row r="1220" spans="37:43">
      <c r="AK1220" s="145"/>
      <c r="AL1220" s="145"/>
      <c r="AM1220" s="145"/>
      <c r="AN1220" s="145"/>
      <c r="AO1220" s="145"/>
      <c r="AP1220" s="145"/>
      <c r="AQ1220" s="145"/>
    </row>
    <row r="1221" spans="37:43">
      <c r="AK1221" s="145"/>
      <c r="AL1221" s="145"/>
      <c r="AM1221" s="145"/>
      <c r="AN1221" s="145"/>
      <c r="AO1221" s="145"/>
      <c r="AP1221" s="145"/>
      <c r="AQ1221" s="145"/>
    </row>
    <row r="1222" spans="37:43">
      <c r="AK1222" s="145"/>
      <c r="AL1222" s="145"/>
      <c r="AM1222" s="145"/>
      <c r="AN1222" s="145"/>
      <c r="AO1222" s="145"/>
      <c r="AP1222" s="145"/>
      <c r="AQ1222" s="145"/>
    </row>
    <row r="1223" spans="37:43">
      <c r="AK1223" s="145"/>
      <c r="AL1223" s="145"/>
      <c r="AM1223" s="145"/>
      <c r="AN1223" s="145"/>
      <c r="AO1223" s="145"/>
      <c r="AP1223" s="145"/>
      <c r="AQ1223" s="145"/>
    </row>
    <row r="1224" spans="37:43">
      <c r="AK1224" s="145"/>
      <c r="AL1224" s="145"/>
      <c r="AM1224" s="145"/>
      <c r="AN1224" s="145"/>
      <c r="AO1224" s="145"/>
      <c r="AP1224" s="145"/>
      <c r="AQ1224" s="145"/>
    </row>
    <row r="1225" spans="37:43">
      <c r="AK1225" s="145"/>
      <c r="AL1225" s="145"/>
      <c r="AM1225" s="145"/>
      <c r="AN1225" s="145"/>
      <c r="AO1225" s="145"/>
      <c r="AP1225" s="145"/>
      <c r="AQ1225" s="145"/>
    </row>
    <row r="1226" spans="37:43">
      <c r="AK1226" s="145"/>
      <c r="AL1226" s="145"/>
      <c r="AM1226" s="145"/>
      <c r="AN1226" s="145"/>
      <c r="AO1226" s="145"/>
      <c r="AP1226" s="145"/>
      <c r="AQ1226" s="145"/>
    </row>
    <row r="1227" spans="37:43">
      <c r="AK1227" s="145"/>
      <c r="AL1227" s="145"/>
      <c r="AM1227" s="145"/>
      <c r="AN1227" s="145"/>
      <c r="AO1227" s="145"/>
      <c r="AP1227" s="145"/>
      <c r="AQ1227" s="145"/>
    </row>
    <row r="1228" spans="37:43">
      <c r="AK1228" s="145"/>
      <c r="AL1228" s="145"/>
      <c r="AM1228" s="145"/>
      <c r="AN1228" s="145"/>
      <c r="AO1228" s="145"/>
      <c r="AP1228" s="145"/>
      <c r="AQ1228" s="145"/>
    </row>
    <row r="1229" spans="37:43">
      <c r="AK1229" s="145"/>
      <c r="AL1229" s="145"/>
      <c r="AM1229" s="145"/>
      <c r="AN1229" s="145"/>
      <c r="AO1229" s="145"/>
      <c r="AP1229" s="145"/>
      <c r="AQ1229" s="145"/>
    </row>
    <row r="1230" spans="37:43">
      <c r="AK1230" s="145"/>
      <c r="AL1230" s="145"/>
      <c r="AM1230" s="145"/>
      <c r="AN1230" s="145"/>
      <c r="AO1230" s="145"/>
      <c r="AP1230" s="145"/>
      <c r="AQ1230" s="145"/>
    </row>
    <row r="1231" spans="37:43">
      <c r="AK1231" s="145"/>
      <c r="AL1231" s="145"/>
      <c r="AM1231" s="145"/>
      <c r="AN1231" s="145"/>
      <c r="AO1231" s="145"/>
      <c r="AP1231" s="145"/>
      <c r="AQ1231" s="145"/>
    </row>
    <row r="1232" spans="37:43">
      <c r="AK1232" s="145"/>
      <c r="AL1232" s="145"/>
      <c r="AM1232" s="145"/>
      <c r="AN1232" s="145"/>
      <c r="AO1232" s="145"/>
      <c r="AP1232" s="145"/>
      <c r="AQ1232" s="145"/>
    </row>
    <row r="1233" spans="37:43">
      <c r="AK1233" s="145"/>
      <c r="AL1233" s="145"/>
      <c r="AM1233" s="145"/>
      <c r="AN1233" s="145"/>
      <c r="AO1233" s="145"/>
      <c r="AP1233" s="145"/>
      <c r="AQ1233" s="145"/>
    </row>
    <row r="1234" spans="37:43">
      <c r="AK1234" s="145"/>
      <c r="AL1234" s="145"/>
      <c r="AM1234" s="145"/>
      <c r="AN1234" s="145"/>
      <c r="AO1234" s="145"/>
      <c r="AP1234" s="145"/>
      <c r="AQ1234" s="145"/>
    </row>
    <row r="1235" spans="37:43">
      <c r="AK1235" s="145"/>
      <c r="AL1235" s="145"/>
      <c r="AM1235" s="145"/>
      <c r="AN1235" s="145"/>
      <c r="AO1235" s="145"/>
      <c r="AP1235" s="145"/>
      <c r="AQ1235" s="145"/>
    </row>
    <row r="1236" spans="37:43">
      <c r="AK1236" s="145"/>
      <c r="AL1236" s="145"/>
      <c r="AM1236" s="145"/>
      <c r="AN1236" s="145"/>
      <c r="AO1236" s="145"/>
      <c r="AP1236" s="145"/>
      <c r="AQ1236" s="145"/>
    </row>
    <row r="1237" spans="37:43">
      <c r="AK1237" s="145"/>
      <c r="AL1237" s="145"/>
      <c r="AM1237" s="145"/>
      <c r="AN1237" s="145"/>
      <c r="AO1237" s="145"/>
      <c r="AP1237" s="145"/>
      <c r="AQ1237" s="145"/>
    </row>
    <row r="1238" spans="37:43">
      <c r="AK1238" s="145"/>
      <c r="AL1238" s="145"/>
      <c r="AM1238" s="145"/>
      <c r="AN1238" s="145"/>
      <c r="AO1238" s="145"/>
      <c r="AP1238" s="145"/>
      <c r="AQ1238" s="145"/>
    </row>
    <row r="1239" spans="37:43">
      <c r="AK1239" s="145"/>
      <c r="AL1239" s="145"/>
      <c r="AM1239" s="145"/>
      <c r="AN1239" s="145"/>
      <c r="AO1239" s="145"/>
      <c r="AP1239" s="145"/>
      <c r="AQ1239" s="145"/>
    </row>
    <row r="1240" spans="37:43">
      <c r="AK1240" s="145"/>
      <c r="AL1240" s="145"/>
      <c r="AM1240" s="145"/>
      <c r="AN1240" s="145"/>
      <c r="AO1240" s="145"/>
      <c r="AP1240" s="145"/>
      <c r="AQ1240" s="145"/>
    </row>
    <row r="1241" spans="37:43">
      <c r="AK1241" s="145"/>
      <c r="AL1241" s="145"/>
      <c r="AM1241" s="145"/>
      <c r="AN1241" s="145"/>
      <c r="AO1241" s="145"/>
      <c r="AP1241" s="145"/>
      <c r="AQ1241" s="145"/>
    </row>
    <row r="1242" spans="37:43">
      <c r="AK1242" s="145"/>
      <c r="AL1242" s="145"/>
      <c r="AM1242" s="145"/>
      <c r="AN1242" s="145"/>
      <c r="AO1242" s="145"/>
      <c r="AP1242" s="145"/>
      <c r="AQ1242" s="145"/>
    </row>
    <row r="1243" spans="37:43">
      <c r="AK1243" s="145"/>
      <c r="AL1243" s="145"/>
      <c r="AM1243" s="145"/>
      <c r="AN1243" s="145"/>
      <c r="AO1243" s="145"/>
      <c r="AP1243" s="145"/>
      <c r="AQ1243" s="145"/>
    </row>
    <row r="1244" spans="37:43">
      <c r="AK1244" s="145"/>
      <c r="AL1244" s="145"/>
      <c r="AM1244" s="145"/>
      <c r="AN1244" s="145"/>
      <c r="AO1244" s="145"/>
      <c r="AP1244" s="145"/>
      <c r="AQ1244" s="145"/>
    </row>
    <row r="1245" spans="37:43">
      <c r="AK1245" s="145"/>
      <c r="AL1245" s="145"/>
      <c r="AM1245" s="145"/>
      <c r="AN1245" s="145"/>
      <c r="AO1245" s="145"/>
      <c r="AP1245" s="145"/>
      <c r="AQ1245" s="145"/>
    </row>
    <row r="1246" spans="37:43">
      <c r="AK1246" s="145"/>
      <c r="AL1246" s="145"/>
      <c r="AM1246" s="145"/>
      <c r="AN1246" s="145"/>
      <c r="AO1246" s="145"/>
      <c r="AP1246" s="145"/>
      <c r="AQ1246" s="145"/>
    </row>
    <row r="1247" spans="37:43">
      <c r="AK1247" s="145"/>
      <c r="AL1247" s="145"/>
      <c r="AM1247" s="145"/>
      <c r="AN1247" s="145"/>
      <c r="AO1247" s="145"/>
      <c r="AP1247" s="145"/>
      <c r="AQ1247" s="145"/>
    </row>
    <row r="1248" spans="37:43">
      <c r="AK1248" s="145"/>
      <c r="AL1248" s="145"/>
      <c r="AM1248" s="145"/>
      <c r="AN1248" s="145"/>
      <c r="AO1248" s="145"/>
      <c r="AP1248" s="145"/>
      <c r="AQ1248" s="145"/>
    </row>
    <row r="1249" spans="37:43">
      <c r="AK1249" s="145"/>
      <c r="AL1249" s="145"/>
      <c r="AM1249" s="145"/>
      <c r="AN1249" s="145"/>
      <c r="AO1249" s="145"/>
      <c r="AP1249" s="145"/>
      <c r="AQ1249" s="145"/>
    </row>
    <row r="1250" spans="37:43">
      <c r="AK1250" s="145"/>
      <c r="AL1250" s="145"/>
      <c r="AM1250" s="145"/>
      <c r="AN1250" s="145"/>
      <c r="AO1250" s="145"/>
      <c r="AP1250" s="145"/>
      <c r="AQ1250" s="145"/>
    </row>
    <row r="1251" spans="37:43">
      <c r="AK1251" s="145"/>
      <c r="AL1251" s="145"/>
      <c r="AM1251" s="145"/>
      <c r="AN1251" s="145"/>
      <c r="AO1251" s="145"/>
      <c r="AP1251" s="145"/>
      <c r="AQ1251" s="145"/>
    </row>
    <row r="1252" spans="37:43">
      <c r="AK1252" s="145"/>
      <c r="AL1252" s="145"/>
      <c r="AM1252" s="145"/>
      <c r="AN1252" s="145"/>
      <c r="AO1252" s="145"/>
      <c r="AP1252" s="145"/>
      <c r="AQ1252" s="145"/>
    </row>
    <row r="1253" spans="37:43">
      <c r="AK1253" s="145"/>
      <c r="AL1253" s="145"/>
      <c r="AM1253" s="145"/>
      <c r="AN1253" s="145"/>
      <c r="AO1253" s="145"/>
      <c r="AP1253" s="145"/>
      <c r="AQ1253" s="145"/>
    </row>
    <row r="1254" spans="37:43">
      <c r="AK1254" s="145"/>
      <c r="AL1254" s="145"/>
      <c r="AM1254" s="145"/>
      <c r="AN1254" s="145"/>
      <c r="AO1254" s="145"/>
      <c r="AP1254" s="145"/>
      <c r="AQ1254" s="145"/>
    </row>
    <row r="1255" spans="37:43">
      <c r="AK1255" s="145"/>
      <c r="AL1255" s="145"/>
      <c r="AM1255" s="145"/>
      <c r="AN1255" s="145"/>
      <c r="AO1255" s="145"/>
      <c r="AP1255" s="145"/>
      <c r="AQ1255" s="145"/>
    </row>
    <row r="1256" spans="37:43">
      <c r="AK1256" s="145"/>
      <c r="AL1256" s="145"/>
      <c r="AM1256" s="145"/>
      <c r="AN1256" s="145"/>
      <c r="AO1256" s="145"/>
      <c r="AP1256" s="145"/>
      <c r="AQ1256" s="145"/>
    </row>
    <row r="1257" spans="37:43">
      <c r="AK1257" s="145"/>
      <c r="AL1257" s="145"/>
      <c r="AM1257" s="145"/>
      <c r="AN1257" s="145"/>
      <c r="AO1257" s="145"/>
      <c r="AP1257" s="145"/>
      <c r="AQ1257" s="145"/>
    </row>
    <row r="1258" spans="37:43">
      <c r="AK1258" s="145"/>
      <c r="AL1258" s="145"/>
      <c r="AM1258" s="145"/>
      <c r="AN1258" s="145"/>
      <c r="AO1258" s="145"/>
      <c r="AP1258" s="145"/>
      <c r="AQ1258" s="145"/>
    </row>
    <row r="1259" spans="37:43">
      <c r="AK1259" s="145"/>
      <c r="AL1259" s="145"/>
      <c r="AM1259" s="145"/>
      <c r="AN1259" s="145"/>
      <c r="AO1259" s="145"/>
      <c r="AP1259" s="145"/>
      <c r="AQ1259" s="145"/>
    </row>
    <row r="1260" spans="37:43">
      <c r="AK1260" s="145"/>
      <c r="AL1260" s="145"/>
      <c r="AM1260" s="145"/>
      <c r="AN1260" s="145"/>
      <c r="AO1260" s="145"/>
      <c r="AP1260" s="145"/>
      <c r="AQ1260" s="145"/>
    </row>
    <row r="1261" spans="37:43">
      <c r="AK1261" s="145"/>
      <c r="AL1261" s="145"/>
      <c r="AM1261" s="145"/>
      <c r="AN1261" s="145"/>
      <c r="AO1261" s="145"/>
      <c r="AP1261" s="145"/>
      <c r="AQ1261" s="145"/>
    </row>
    <row r="1262" spans="37:43">
      <c r="AK1262" s="145"/>
      <c r="AL1262" s="145"/>
      <c r="AM1262" s="145"/>
      <c r="AN1262" s="145"/>
      <c r="AO1262" s="145"/>
      <c r="AP1262" s="145"/>
      <c r="AQ1262" s="145"/>
    </row>
    <row r="1263" spans="37:43">
      <c r="AK1263" s="145"/>
      <c r="AL1263" s="145"/>
      <c r="AM1263" s="145"/>
      <c r="AN1263" s="145"/>
      <c r="AO1263" s="145"/>
      <c r="AP1263" s="145"/>
      <c r="AQ1263" s="145"/>
    </row>
    <row r="1264" spans="37:43">
      <c r="AK1264" s="145"/>
      <c r="AL1264" s="145"/>
      <c r="AM1264" s="145"/>
      <c r="AN1264" s="145"/>
      <c r="AO1264" s="145"/>
      <c r="AP1264" s="145"/>
      <c r="AQ1264" s="145"/>
    </row>
    <row r="1265" spans="37:43">
      <c r="AK1265" s="145"/>
      <c r="AL1265" s="145"/>
      <c r="AM1265" s="145"/>
      <c r="AN1265" s="145"/>
      <c r="AO1265" s="145"/>
      <c r="AP1265" s="145"/>
      <c r="AQ1265" s="145"/>
    </row>
    <row r="1266" spans="37:43">
      <c r="AK1266" s="145"/>
      <c r="AL1266" s="145"/>
      <c r="AM1266" s="145"/>
      <c r="AN1266" s="145"/>
      <c r="AO1266" s="145"/>
      <c r="AP1266" s="145"/>
      <c r="AQ1266" s="145"/>
    </row>
    <row r="1267" spans="37:43">
      <c r="AK1267" s="145"/>
      <c r="AL1267" s="145"/>
      <c r="AM1267" s="145"/>
      <c r="AN1267" s="145"/>
      <c r="AO1267" s="145"/>
      <c r="AP1267" s="145"/>
      <c r="AQ1267" s="145"/>
    </row>
    <row r="1268" spans="37:43">
      <c r="AK1268" s="145"/>
      <c r="AL1268" s="145"/>
      <c r="AM1268" s="145"/>
      <c r="AN1268" s="145"/>
      <c r="AO1268" s="145"/>
      <c r="AP1268" s="145"/>
      <c r="AQ1268" s="145"/>
    </row>
    <row r="1269" spans="37:43">
      <c r="AK1269" s="145"/>
      <c r="AL1269" s="145"/>
      <c r="AM1269" s="145"/>
      <c r="AN1269" s="145"/>
      <c r="AO1269" s="145"/>
      <c r="AP1269" s="145"/>
      <c r="AQ1269" s="145"/>
    </row>
    <row r="1270" spans="37:43">
      <c r="AK1270" s="145"/>
      <c r="AL1270" s="145"/>
      <c r="AM1270" s="145"/>
      <c r="AN1270" s="145"/>
      <c r="AO1270" s="145"/>
      <c r="AP1270" s="145"/>
      <c r="AQ1270" s="145"/>
    </row>
    <row r="1271" spans="37:43">
      <c r="AK1271" s="145"/>
      <c r="AL1271" s="145"/>
      <c r="AM1271" s="145"/>
      <c r="AN1271" s="145"/>
      <c r="AO1271" s="145"/>
      <c r="AP1271" s="145"/>
      <c r="AQ1271" s="145"/>
    </row>
    <row r="1272" spans="37:43">
      <c r="AK1272" s="145"/>
      <c r="AL1272" s="145"/>
      <c r="AM1272" s="145"/>
      <c r="AN1272" s="145"/>
      <c r="AO1272" s="145"/>
      <c r="AP1272" s="145"/>
      <c r="AQ1272" s="145"/>
    </row>
    <row r="1273" spans="37:43">
      <c r="AK1273" s="145"/>
      <c r="AL1273" s="145"/>
      <c r="AM1273" s="145"/>
      <c r="AN1273" s="145"/>
      <c r="AO1273" s="145"/>
      <c r="AP1273" s="145"/>
      <c r="AQ1273" s="145"/>
    </row>
    <row r="1274" spans="37:43">
      <c r="AK1274" s="145"/>
      <c r="AL1274" s="145"/>
      <c r="AM1274" s="145"/>
      <c r="AN1274" s="145"/>
      <c r="AO1274" s="145"/>
      <c r="AP1274" s="145"/>
      <c r="AQ1274" s="145"/>
    </row>
    <row r="1275" spans="37:43">
      <c r="AK1275" s="145"/>
      <c r="AL1275" s="145"/>
      <c r="AM1275" s="145"/>
      <c r="AN1275" s="145"/>
      <c r="AO1275" s="145"/>
      <c r="AP1275" s="145"/>
      <c r="AQ1275" s="145"/>
    </row>
    <row r="1276" spans="37:43">
      <c r="AK1276" s="145"/>
      <c r="AL1276" s="145"/>
      <c r="AM1276" s="145"/>
      <c r="AN1276" s="145"/>
      <c r="AO1276" s="145"/>
      <c r="AP1276" s="145"/>
      <c r="AQ1276" s="145"/>
    </row>
    <row r="1277" spans="37:43">
      <c r="AK1277" s="145"/>
      <c r="AL1277" s="145"/>
      <c r="AM1277" s="145"/>
      <c r="AN1277" s="145"/>
      <c r="AO1277" s="145"/>
      <c r="AP1277" s="145"/>
      <c r="AQ1277" s="145"/>
    </row>
    <row r="1278" spans="37:43">
      <c r="AK1278" s="145"/>
      <c r="AL1278" s="145"/>
      <c r="AM1278" s="145"/>
      <c r="AN1278" s="145"/>
      <c r="AO1278" s="145"/>
      <c r="AP1278" s="145"/>
      <c r="AQ1278" s="145"/>
    </row>
    <row r="1279" spans="37:43">
      <c r="AK1279" s="145"/>
      <c r="AL1279" s="145"/>
      <c r="AM1279" s="145"/>
      <c r="AN1279" s="145"/>
      <c r="AO1279" s="145"/>
      <c r="AP1279" s="145"/>
      <c r="AQ1279" s="145"/>
    </row>
    <row r="1280" spans="37:43">
      <c r="AK1280" s="145"/>
      <c r="AL1280" s="145"/>
      <c r="AM1280" s="145"/>
      <c r="AN1280" s="145"/>
      <c r="AO1280" s="145"/>
      <c r="AP1280" s="145"/>
      <c r="AQ1280" s="145"/>
    </row>
    <row r="1281" spans="37:43">
      <c r="AK1281" s="145"/>
      <c r="AL1281" s="145"/>
      <c r="AM1281" s="145"/>
      <c r="AN1281" s="145"/>
      <c r="AO1281" s="145"/>
      <c r="AP1281" s="145"/>
      <c r="AQ1281" s="145"/>
    </row>
    <row r="1282" spans="37:43">
      <c r="AK1282" s="145"/>
      <c r="AL1282" s="145"/>
      <c r="AM1282" s="145"/>
      <c r="AN1282" s="145"/>
      <c r="AO1282" s="145"/>
      <c r="AP1282" s="145"/>
      <c r="AQ1282" s="145"/>
    </row>
    <row r="1283" spans="37:43">
      <c r="AK1283" s="145"/>
      <c r="AL1283" s="145"/>
      <c r="AM1283" s="145"/>
      <c r="AN1283" s="145"/>
      <c r="AO1283" s="145"/>
      <c r="AP1283" s="145"/>
      <c r="AQ1283" s="145"/>
    </row>
    <row r="1284" spans="37:43">
      <c r="AK1284" s="145"/>
      <c r="AL1284" s="145"/>
      <c r="AM1284" s="145"/>
      <c r="AN1284" s="145"/>
      <c r="AO1284" s="145"/>
      <c r="AP1284" s="145"/>
      <c r="AQ1284" s="145"/>
    </row>
    <row r="1285" spans="37:43">
      <c r="AK1285" s="145"/>
      <c r="AL1285" s="145"/>
      <c r="AM1285" s="145"/>
      <c r="AN1285" s="145"/>
      <c r="AO1285" s="145"/>
      <c r="AP1285" s="145"/>
      <c r="AQ1285" s="145"/>
    </row>
    <row r="1286" spans="37:43">
      <c r="AK1286" s="145"/>
      <c r="AL1286" s="145"/>
      <c r="AM1286" s="145"/>
      <c r="AN1286" s="145"/>
      <c r="AO1286" s="145"/>
      <c r="AP1286" s="145"/>
      <c r="AQ1286" s="145"/>
    </row>
    <row r="1287" spans="37:43">
      <c r="AK1287" s="145"/>
      <c r="AL1287" s="145"/>
      <c r="AM1287" s="145"/>
      <c r="AN1287" s="145"/>
      <c r="AO1287" s="145"/>
      <c r="AP1287" s="145"/>
      <c r="AQ1287" s="145"/>
    </row>
    <row r="1288" spans="37:43">
      <c r="AK1288" s="145"/>
      <c r="AL1288" s="145"/>
      <c r="AM1288" s="145"/>
      <c r="AN1288" s="145"/>
      <c r="AO1288" s="145"/>
      <c r="AP1288" s="145"/>
      <c r="AQ1288" s="145"/>
    </row>
    <row r="1289" spans="37:43">
      <c r="AK1289" s="145"/>
      <c r="AL1289" s="145"/>
      <c r="AM1289" s="145"/>
      <c r="AN1289" s="145"/>
      <c r="AO1289" s="145"/>
      <c r="AP1289" s="145"/>
      <c r="AQ1289" s="145"/>
    </row>
    <row r="1290" spans="37:43">
      <c r="AK1290" s="145"/>
      <c r="AL1290" s="145"/>
      <c r="AM1290" s="145"/>
      <c r="AN1290" s="145"/>
      <c r="AO1290" s="145"/>
      <c r="AP1290" s="145"/>
      <c r="AQ1290" s="145"/>
    </row>
    <row r="1291" spans="37:43">
      <c r="AK1291" s="145"/>
      <c r="AL1291" s="145"/>
      <c r="AM1291" s="145"/>
      <c r="AN1291" s="145"/>
      <c r="AO1291" s="145"/>
      <c r="AP1291" s="145"/>
      <c r="AQ1291" s="145"/>
    </row>
    <row r="1292" spans="37:43">
      <c r="AK1292" s="145"/>
      <c r="AL1292" s="145"/>
      <c r="AM1292" s="145"/>
      <c r="AN1292" s="145"/>
      <c r="AO1292" s="145"/>
      <c r="AP1292" s="145"/>
      <c r="AQ1292" s="145"/>
    </row>
    <row r="1293" spans="37:43">
      <c r="AK1293" s="145"/>
      <c r="AL1293" s="145"/>
      <c r="AM1293" s="145"/>
      <c r="AN1293" s="145"/>
      <c r="AO1293" s="145"/>
      <c r="AP1293" s="145"/>
      <c r="AQ1293" s="145"/>
    </row>
    <row r="1294" spans="37:43">
      <c r="AK1294" s="145"/>
      <c r="AL1294" s="145"/>
      <c r="AM1294" s="145"/>
      <c r="AN1294" s="145"/>
      <c r="AO1294" s="145"/>
      <c r="AP1294" s="145"/>
      <c r="AQ1294" s="145"/>
    </row>
    <row r="1295" spans="37:43">
      <c r="AK1295" s="145"/>
      <c r="AL1295" s="145"/>
      <c r="AM1295" s="145"/>
      <c r="AN1295" s="145"/>
      <c r="AO1295" s="145"/>
      <c r="AP1295" s="145"/>
      <c r="AQ1295" s="145"/>
    </row>
    <row r="1296" spans="37:43">
      <c r="AK1296" s="145"/>
      <c r="AL1296" s="145"/>
      <c r="AM1296" s="145"/>
      <c r="AN1296" s="145"/>
      <c r="AO1296" s="145"/>
      <c r="AP1296" s="145"/>
      <c r="AQ1296" s="145"/>
    </row>
    <row r="1297" spans="37:43">
      <c r="AK1297" s="145"/>
      <c r="AL1297" s="145"/>
      <c r="AM1297" s="145"/>
      <c r="AN1297" s="145"/>
      <c r="AO1297" s="145"/>
      <c r="AP1297" s="145"/>
      <c r="AQ1297" s="145"/>
    </row>
    <row r="1298" spans="37:43">
      <c r="AK1298" s="145"/>
      <c r="AL1298" s="145"/>
      <c r="AM1298" s="145"/>
      <c r="AN1298" s="145"/>
      <c r="AO1298" s="145"/>
      <c r="AP1298" s="145"/>
      <c r="AQ1298" s="145"/>
    </row>
    <row r="1299" spans="37:43">
      <c r="AK1299" s="145"/>
      <c r="AL1299" s="145"/>
      <c r="AM1299" s="145"/>
      <c r="AN1299" s="145"/>
      <c r="AO1299" s="145"/>
      <c r="AP1299" s="145"/>
      <c r="AQ1299" s="145"/>
    </row>
    <row r="1300" spans="37:43">
      <c r="AK1300" s="145"/>
      <c r="AL1300" s="145"/>
      <c r="AM1300" s="145"/>
      <c r="AN1300" s="145"/>
      <c r="AO1300" s="145"/>
      <c r="AP1300" s="145"/>
      <c r="AQ1300" s="145"/>
    </row>
    <row r="1301" spans="37:43">
      <c r="AK1301" s="145"/>
      <c r="AL1301" s="145"/>
      <c r="AM1301" s="145"/>
      <c r="AN1301" s="145"/>
      <c r="AO1301" s="145"/>
      <c r="AP1301" s="145"/>
      <c r="AQ1301" s="145"/>
    </row>
    <row r="1302" spans="37:43">
      <c r="AK1302" s="145"/>
      <c r="AL1302" s="145"/>
      <c r="AM1302" s="145"/>
      <c r="AN1302" s="145"/>
      <c r="AO1302" s="145"/>
      <c r="AP1302" s="145"/>
      <c r="AQ1302" s="145"/>
    </row>
    <row r="1303" spans="37:43">
      <c r="AK1303" s="145"/>
      <c r="AL1303" s="145"/>
      <c r="AM1303" s="145"/>
      <c r="AN1303" s="145"/>
      <c r="AO1303" s="145"/>
      <c r="AP1303" s="145"/>
      <c r="AQ1303" s="145"/>
    </row>
    <row r="1304" spans="37:43">
      <c r="AK1304" s="145"/>
      <c r="AL1304" s="145"/>
      <c r="AM1304" s="145"/>
      <c r="AN1304" s="145"/>
      <c r="AO1304" s="145"/>
      <c r="AP1304" s="145"/>
      <c r="AQ1304" s="145"/>
    </row>
    <row r="1305" spans="37:43">
      <c r="AK1305" s="145"/>
      <c r="AL1305" s="145"/>
      <c r="AM1305" s="145"/>
      <c r="AN1305" s="145"/>
      <c r="AO1305" s="145"/>
      <c r="AP1305" s="145"/>
      <c r="AQ1305" s="145"/>
    </row>
    <row r="1306" spans="37:43">
      <c r="AK1306" s="145"/>
      <c r="AL1306" s="145"/>
      <c r="AM1306" s="145"/>
      <c r="AN1306" s="145"/>
      <c r="AO1306" s="145"/>
      <c r="AP1306" s="145"/>
      <c r="AQ1306" s="145"/>
    </row>
    <row r="1307" spans="37:43">
      <c r="AK1307" s="145"/>
      <c r="AL1307" s="145"/>
      <c r="AM1307" s="145"/>
      <c r="AN1307" s="145"/>
      <c r="AO1307" s="145"/>
      <c r="AP1307" s="145"/>
      <c r="AQ1307" s="145"/>
    </row>
    <row r="1308" spans="37:43">
      <c r="AK1308" s="145"/>
      <c r="AL1308" s="145"/>
      <c r="AM1308" s="145"/>
      <c r="AN1308" s="145"/>
      <c r="AO1308" s="145"/>
      <c r="AP1308" s="145"/>
      <c r="AQ1308" s="145"/>
    </row>
    <row r="1309" spans="37:43">
      <c r="AK1309" s="145"/>
      <c r="AL1309" s="145"/>
      <c r="AM1309" s="145"/>
      <c r="AN1309" s="145"/>
      <c r="AO1309" s="145"/>
      <c r="AP1309" s="145"/>
      <c r="AQ1309" s="145"/>
    </row>
    <row r="1310" spans="37:43">
      <c r="AK1310" s="145"/>
      <c r="AL1310" s="145"/>
      <c r="AM1310" s="145"/>
      <c r="AN1310" s="145"/>
      <c r="AO1310" s="145"/>
      <c r="AP1310" s="145"/>
      <c r="AQ1310" s="145"/>
    </row>
    <row r="1311" spans="37:43">
      <c r="AK1311" s="145"/>
      <c r="AL1311" s="145"/>
      <c r="AM1311" s="145"/>
      <c r="AN1311" s="145"/>
      <c r="AO1311" s="145"/>
      <c r="AP1311" s="145"/>
      <c r="AQ1311" s="145"/>
    </row>
    <row r="1312" spans="37:43">
      <c r="AK1312" s="145"/>
      <c r="AL1312" s="145"/>
      <c r="AM1312" s="145"/>
      <c r="AN1312" s="145"/>
      <c r="AO1312" s="145"/>
      <c r="AP1312" s="145"/>
      <c r="AQ1312" s="145"/>
    </row>
    <row r="1313" spans="37:43">
      <c r="AK1313" s="145"/>
      <c r="AL1313" s="145"/>
      <c r="AM1313" s="145"/>
      <c r="AN1313" s="145"/>
      <c r="AO1313" s="145"/>
      <c r="AP1313" s="145"/>
      <c r="AQ1313" s="145"/>
    </row>
    <row r="1314" spans="37:43">
      <c r="AK1314" s="145"/>
      <c r="AL1314" s="145"/>
      <c r="AM1314" s="145"/>
      <c r="AN1314" s="145"/>
      <c r="AO1314" s="145"/>
      <c r="AP1314" s="145"/>
      <c r="AQ1314" s="145"/>
    </row>
    <row r="1315" spans="37:43">
      <c r="AK1315" s="145"/>
      <c r="AL1315" s="145"/>
      <c r="AM1315" s="145"/>
      <c r="AN1315" s="145"/>
      <c r="AO1315" s="145"/>
      <c r="AP1315" s="145"/>
      <c r="AQ1315" s="145"/>
    </row>
    <row r="1316" spans="37:43">
      <c r="AK1316" s="145"/>
      <c r="AL1316" s="145"/>
      <c r="AM1316" s="145"/>
      <c r="AN1316" s="145"/>
      <c r="AO1316" s="145"/>
      <c r="AP1316" s="145"/>
      <c r="AQ1316" s="145"/>
    </row>
    <row r="1317" spans="37:43">
      <c r="AK1317" s="145"/>
      <c r="AL1317" s="145"/>
      <c r="AM1317" s="145"/>
      <c r="AN1317" s="145"/>
      <c r="AO1317" s="145"/>
      <c r="AP1317" s="145"/>
      <c r="AQ1317" s="145"/>
    </row>
    <row r="1318" spans="37:43">
      <c r="AK1318" s="145"/>
      <c r="AL1318" s="145"/>
      <c r="AM1318" s="145"/>
      <c r="AN1318" s="145"/>
      <c r="AO1318" s="145"/>
      <c r="AP1318" s="145"/>
      <c r="AQ1318" s="145"/>
    </row>
    <row r="1319" spans="37:43">
      <c r="AK1319" s="145"/>
      <c r="AL1319" s="145"/>
      <c r="AM1319" s="145"/>
      <c r="AN1319" s="145"/>
      <c r="AO1319" s="145"/>
      <c r="AP1319" s="145"/>
      <c r="AQ1319" s="145"/>
    </row>
    <row r="1320" spans="37:43">
      <c r="AK1320" s="145"/>
      <c r="AL1320" s="145"/>
      <c r="AM1320" s="145"/>
      <c r="AN1320" s="145"/>
      <c r="AO1320" s="145"/>
      <c r="AP1320" s="145"/>
      <c r="AQ1320" s="145"/>
    </row>
    <row r="1321" spans="37:43">
      <c r="AK1321" s="145"/>
      <c r="AL1321" s="145"/>
      <c r="AM1321" s="145"/>
      <c r="AN1321" s="145"/>
      <c r="AO1321" s="145"/>
      <c r="AP1321" s="145"/>
      <c r="AQ1321" s="145"/>
    </row>
    <row r="1322" spans="37:43">
      <c r="AK1322" s="145"/>
      <c r="AL1322" s="145"/>
      <c r="AM1322" s="145"/>
      <c r="AN1322" s="145"/>
      <c r="AO1322" s="145"/>
      <c r="AP1322" s="145"/>
      <c r="AQ1322" s="145"/>
    </row>
    <row r="1323" spans="37:43">
      <c r="AK1323" s="145"/>
      <c r="AL1323" s="145"/>
      <c r="AM1323" s="145"/>
      <c r="AN1323" s="145"/>
      <c r="AO1323" s="145"/>
      <c r="AP1323" s="145"/>
      <c r="AQ1323" s="145"/>
    </row>
    <row r="1324" spans="37:43">
      <c r="AK1324" s="145"/>
      <c r="AL1324" s="145"/>
      <c r="AM1324" s="145"/>
      <c r="AN1324" s="145"/>
      <c r="AO1324" s="145"/>
      <c r="AP1324" s="145"/>
      <c r="AQ1324" s="145"/>
    </row>
    <row r="1325" spans="37:43">
      <c r="AK1325" s="145"/>
      <c r="AL1325" s="145"/>
      <c r="AM1325" s="145"/>
      <c r="AN1325" s="145"/>
      <c r="AO1325" s="145"/>
      <c r="AP1325" s="145"/>
      <c r="AQ1325" s="145"/>
    </row>
    <row r="1326" spans="37:43">
      <c r="AK1326" s="145"/>
      <c r="AL1326" s="145"/>
      <c r="AM1326" s="145"/>
      <c r="AN1326" s="145"/>
      <c r="AO1326" s="145"/>
      <c r="AP1326" s="145"/>
      <c r="AQ1326" s="145"/>
    </row>
    <row r="1327" spans="37:43">
      <c r="AK1327" s="145"/>
      <c r="AL1327" s="145"/>
      <c r="AM1327" s="145"/>
      <c r="AN1327" s="145"/>
      <c r="AO1327" s="145"/>
      <c r="AP1327" s="145"/>
      <c r="AQ1327" s="145"/>
    </row>
    <row r="1328" spans="37:43">
      <c r="AK1328" s="145"/>
      <c r="AL1328" s="145"/>
      <c r="AM1328" s="145"/>
      <c r="AN1328" s="145"/>
      <c r="AO1328" s="145"/>
      <c r="AP1328" s="145"/>
      <c r="AQ1328" s="145"/>
    </row>
    <row r="1329" spans="37:43">
      <c r="AK1329" s="145"/>
      <c r="AL1329" s="145"/>
      <c r="AM1329" s="145"/>
      <c r="AN1329" s="145"/>
      <c r="AO1329" s="145"/>
      <c r="AP1329" s="145"/>
      <c r="AQ1329" s="145"/>
    </row>
    <row r="1330" spans="37:43">
      <c r="AK1330" s="145"/>
      <c r="AL1330" s="145"/>
      <c r="AM1330" s="145"/>
      <c r="AN1330" s="145"/>
      <c r="AO1330" s="145"/>
      <c r="AP1330" s="145"/>
      <c r="AQ1330" s="145"/>
    </row>
    <row r="1331" spans="37:43">
      <c r="AK1331" s="145"/>
      <c r="AL1331" s="145"/>
      <c r="AM1331" s="145"/>
      <c r="AN1331" s="145"/>
      <c r="AO1331" s="145"/>
      <c r="AP1331" s="145"/>
      <c r="AQ1331" s="145"/>
    </row>
    <row r="1332" spans="37:43">
      <c r="AK1332" s="145"/>
      <c r="AL1332" s="145"/>
      <c r="AM1332" s="145"/>
      <c r="AN1332" s="145"/>
      <c r="AO1332" s="145"/>
      <c r="AP1332" s="145"/>
      <c r="AQ1332" s="145"/>
    </row>
    <row r="1333" spans="37:43">
      <c r="AK1333" s="145"/>
      <c r="AL1333" s="145"/>
      <c r="AM1333" s="145"/>
      <c r="AN1333" s="145"/>
      <c r="AO1333" s="145"/>
      <c r="AP1333" s="145"/>
      <c r="AQ1333" s="145"/>
    </row>
    <row r="1334" spans="37:43">
      <c r="AK1334" s="145"/>
      <c r="AL1334" s="145"/>
      <c r="AM1334" s="145"/>
      <c r="AN1334" s="145"/>
      <c r="AO1334" s="145"/>
      <c r="AP1334" s="145"/>
      <c r="AQ1334" s="145"/>
    </row>
    <row r="1335" spans="37:43">
      <c r="AK1335" s="145"/>
      <c r="AL1335" s="145"/>
      <c r="AM1335" s="145"/>
      <c r="AN1335" s="145"/>
      <c r="AO1335" s="145"/>
      <c r="AP1335" s="145"/>
      <c r="AQ1335" s="145"/>
    </row>
    <row r="1336" spans="37:43">
      <c r="AK1336" s="145"/>
      <c r="AL1336" s="145"/>
      <c r="AM1336" s="145"/>
      <c r="AN1336" s="145"/>
      <c r="AO1336" s="145"/>
      <c r="AP1336" s="145"/>
      <c r="AQ1336" s="145"/>
    </row>
    <row r="1337" spans="37:43">
      <c r="AK1337" s="145"/>
      <c r="AL1337" s="145"/>
      <c r="AM1337" s="145"/>
      <c r="AN1337" s="145"/>
      <c r="AO1337" s="145"/>
      <c r="AP1337" s="145"/>
      <c r="AQ1337" s="145"/>
    </row>
    <row r="1338" spans="37:43">
      <c r="AK1338" s="145"/>
      <c r="AL1338" s="145"/>
      <c r="AM1338" s="145"/>
      <c r="AN1338" s="145"/>
      <c r="AO1338" s="145"/>
      <c r="AP1338" s="145"/>
      <c r="AQ1338" s="145"/>
    </row>
    <row r="1339" spans="37:43">
      <c r="AK1339" s="145"/>
      <c r="AL1339" s="145"/>
      <c r="AM1339" s="145"/>
      <c r="AN1339" s="145"/>
      <c r="AO1339" s="145"/>
      <c r="AP1339" s="145"/>
      <c r="AQ1339" s="145"/>
    </row>
    <row r="1340" spans="37:43">
      <c r="AK1340" s="145"/>
      <c r="AL1340" s="145"/>
      <c r="AM1340" s="145"/>
      <c r="AN1340" s="145"/>
      <c r="AO1340" s="145"/>
      <c r="AP1340" s="145"/>
      <c r="AQ1340" s="145"/>
    </row>
    <row r="1341" spans="37:43">
      <c r="AK1341" s="145"/>
      <c r="AL1341" s="145"/>
      <c r="AM1341" s="145"/>
      <c r="AN1341" s="145"/>
      <c r="AO1341" s="145"/>
      <c r="AP1341" s="145"/>
      <c r="AQ1341" s="145"/>
    </row>
    <row r="1342" spans="37:43">
      <c r="AK1342" s="145"/>
      <c r="AL1342" s="145"/>
      <c r="AM1342" s="145"/>
      <c r="AN1342" s="145"/>
      <c r="AO1342" s="145"/>
      <c r="AP1342" s="145"/>
      <c r="AQ1342" s="145"/>
    </row>
    <row r="1343" spans="37:43">
      <c r="AK1343" s="145"/>
      <c r="AL1343" s="145"/>
      <c r="AM1343" s="145"/>
      <c r="AN1343" s="145"/>
      <c r="AO1343" s="145"/>
      <c r="AP1343" s="145"/>
      <c r="AQ1343" s="145"/>
    </row>
    <row r="1344" spans="37:43">
      <c r="AK1344" s="145"/>
      <c r="AL1344" s="145"/>
      <c r="AM1344" s="145"/>
      <c r="AN1344" s="145"/>
      <c r="AO1344" s="145"/>
      <c r="AP1344" s="145"/>
      <c r="AQ1344" s="145"/>
    </row>
    <row r="1345" spans="37:43">
      <c r="AK1345" s="145"/>
      <c r="AL1345" s="145"/>
      <c r="AM1345" s="145"/>
      <c r="AN1345" s="145"/>
      <c r="AO1345" s="145"/>
      <c r="AP1345" s="145"/>
      <c r="AQ1345" s="145"/>
    </row>
    <row r="1346" spans="37:43">
      <c r="AK1346" s="145"/>
      <c r="AL1346" s="145"/>
      <c r="AM1346" s="145"/>
      <c r="AN1346" s="145"/>
      <c r="AO1346" s="145"/>
      <c r="AP1346" s="145"/>
      <c r="AQ1346" s="145"/>
    </row>
    <row r="1347" spans="37:43">
      <c r="AK1347" s="145"/>
      <c r="AL1347" s="145"/>
      <c r="AM1347" s="145"/>
      <c r="AN1347" s="145"/>
      <c r="AO1347" s="145"/>
      <c r="AP1347" s="145"/>
      <c r="AQ1347" s="145"/>
    </row>
    <row r="1348" spans="37:43">
      <c r="AK1348" s="145"/>
      <c r="AL1348" s="145"/>
      <c r="AM1348" s="145"/>
      <c r="AN1348" s="145"/>
      <c r="AO1348" s="145"/>
      <c r="AP1348" s="145"/>
      <c r="AQ1348" s="145"/>
    </row>
    <row r="1349" spans="37:43">
      <c r="AK1349" s="145"/>
      <c r="AL1349" s="145"/>
      <c r="AM1349" s="145"/>
      <c r="AN1349" s="145"/>
      <c r="AO1349" s="145"/>
      <c r="AP1349" s="145"/>
      <c r="AQ1349" s="145"/>
    </row>
    <row r="1350" spans="37:43">
      <c r="AK1350" s="145"/>
      <c r="AL1350" s="145"/>
      <c r="AM1350" s="145"/>
      <c r="AN1350" s="145"/>
      <c r="AO1350" s="145"/>
      <c r="AP1350" s="145"/>
      <c r="AQ1350" s="145"/>
    </row>
    <row r="1351" spans="37:43">
      <c r="AK1351" s="145"/>
      <c r="AL1351" s="145"/>
      <c r="AM1351" s="145"/>
      <c r="AN1351" s="145"/>
      <c r="AO1351" s="145"/>
      <c r="AP1351" s="145"/>
      <c r="AQ1351" s="145"/>
    </row>
    <row r="1352" spans="37:43">
      <c r="AK1352" s="145"/>
      <c r="AL1352" s="145"/>
      <c r="AM1352" s="145"/>
      <c r="AN1352" s="145"/>
      <c r="AO1352" s="145"/>
      <c r="AP1352" s="145"/>
      <c r="AQ1352" s="145"/>
    </row>
    <row r="1353" spans="37:43">
      <c r="AK1353" s="145"/>
      <c r="AL1353" s="145"/>
      <c r="AM1353" s="145"/>
      <c r="AN1353" s="145"/>
      <c r="AO1353" s="145"/>
      <c r="AP1353" s="145"/>
      <c r="AQ1353" s="145"/>
    </row>
    <row r="1354" spans="37:43">
      <c r="AK1354" s="145"/>
      <c r="AL1354" s="145"/>
      <c r="AM1354" s="145"/>
      <c r="AN1354" s="145"/>
      <c r="AO1354" s="145"/>
      <c r="AP1354" s="145"/>
      <c r="AQ1354" s="145"/>
    </row>
    <row r="1355" spans="37:43">
      <c r="AK1355" s="145"/>
      <c r="AL1355" s="145"/>
      <c r="AM1355" s="145"/>
      <c r="AN1355" s="145"/>
      <c r="AO1355" s="145"/>
      <c r="AP1355" s="145"/>
      <c r="AQ1355" s="145"/>
    </row>
    <row r="1356" spans="37:43">
      <c r="AK1356" s="145"/>
      <c r="AL1356" s="145"/>
      <c r="AM1356" s="145"/>
      <c r="AN1356" s="145"/>
      <c r="AO1356" s="145"/>
      <c r="AP1356" s="145"/>
      <c r="AQ1356" s="145"/>
    </row>
    <row r="1357" spans="37:43">
      <c r="AK1357" s="145"/>
      <c r="AL1357" s="145"/>
      <c r="AM1357" s="145"/>
      <c r="AN1357" s="145"/>
      <c r="AO1357" s="145"/>
      <c r="AP1357" s="145"/>
      <c r="AQ1357" s="145"/>
    </row>
    <row r="1358" spans="37:43">
      <c r="AK1358" s="145"/>
      <c r="AL1358" s="145"/>
      <c r="AM1358" s="145"/>
      <c r="AN1358" s="145"/>
      <c r="AO1358" s="145"/>
      <c r="AP1358" s="145"/>
      <c r="AQ1358" s="145"/>
    </row>
    <row r="1359" spans="37:43">
      <c r="AK1359" s="145"/>
      <c r="AL1359" s="145"/>
      <c r="AM1359" s="145"/>
      <c r="AN1359" s="145"/>
      <c r="AO1359" s="145"/>
      <c r="AP1359" s="145"/>
      <c r="AQ1359" s="145"/>
    </row>
    <row r="1360" spans="37:43">
      <c r="AK1360" s="145"/>
      <c r="AL1360" s="145"/>
      <c r="AM1360" s="145"/>
      <c r="AN1360" s="145"/>
      <c r="AO1360" s="145"/>
      <c r="AP1360" s="145"/>
      <c r="AQ1360" s="145"/>
    </row>
    <row r="1361" spans="37:43">
      <c r="AK1361" s="145"/>
      <c r="AL1361" s="145"/>
      <c r="AM1361" s="145"/>
      <c r="AN1361" s="145"/>
      <c r="AO1361" s="145"/>
      <c r="AP1361" s="145"/>
      <c r="AQ1361" s="145"/>
    </row>
    <row r="1362" spans="37:43">
      <c r="AK1362" s="145"/>
      <c r="AL1362" s="145"/>
      <c r="AM1362" s="145"/>
      <c r="AN1362" s="145"/>
      <c r="AO1362" s="145"/>
      <c r="AP1362" s="145"/>
      <c r="AQ1362" s="145"/>
    </row>
    <row r="1363" spans="37:43">
      <c r="AK1363" s="145"/>
      <c r="AL1363" s="145"/>
      <c r="AM1363" s="145"/>
      <c r="AN1363" s="145"/>
      <c r="AO1363" s="145"/>
      <c r="AP1363" s="145"/>
      <c r="AQ1363" s="145"/>
    </row>
    <row r="1364" spans="37:43">
      <c r="AK1364" s="145"/>
      <c r="AL1364" s="145"/>
      <c r="AM1364" s="145"/>
      <c r="AN1364" s="145"/>
      <c r="AO1364" s="145"/>
      <c r="AP1364" s="145"/>
      <c r="AQ1364" s="145"/>
    </row>
    <row r="1365" spans="37:43">
      <c r="AK1365" s="145"/>
      <c r="AL1365" s="145"/>
      <c r="AM1365" s="145"/>
      <c r="AN1365" s="145"/>
      <c r="AO1365" s="145"/>
      <c r="AP1365" s="145"/>
      <c r="AQ1365" s="145"/>
    </row>
    <row r="1366" spans="37:43">
      <c r="AK1366" s="145"/>
      <c r="AL1366" s="145"/>
      <c r="AM1366" s="145"/>
      <c r="AN1366" s="145"/>
      <c r="AO1366" s="145"/>
      <c r="AP1366" s="145"/>
      <c r="AQ1366" s="145"/>
    </row>
    <row r="1367" spans="37:43">
      <c r="AK1367" s="145"/>
      <c r="AL1367" s="145"/>
      <c r="AM1367" s="145"/>
      <c r="AN1367" s="145"/>
      <c r="AO1367" s="145"/>
      <c r="AP1367" s="145"/>
      <c r="AQ1367" s="145"/>
    </row>
    <row r="1368" spans="37:43">
      <c r="AK1368" s="145"/>
      <c r="AL1368" s="145"/>
      <c r="AM1368" s="145"/>
      <c r="AN1368" s="145"/>
      <c r="AO1368" s="145"/>
      <c r="AP1368" s="145"/>
      <c r="AQ1368" s="145"/>
    </row>
    <row r="1369" spans="37:43">
      <c r="AK1369" s="145"/>
      <c r="AL1369" s="145"/>
      <c r="AM1369" s="145"/>
      <c r="AN1369" s="145"/>
      <c r="AO1369" s="145"/>
      <c r="AP1369" s="145"/>
      <c r="AQ1369" s="145"/>
    </row>
    <row r="1370" spans="37:43">
      <c r="AK1370" s="145"/>
      <c r="AL1370" s="145"/>
      <c r="AM1370" s="145"/>
      <c r="AN1370" s="145"/>
      <c r="AO1370" s="145"/>
      <c r="AP1370" s="145"/>
      <c r="AQ1370" s="145"/>
    </row>
    <row r="1371" spans="37:43">
      <c r="AK1371" s="145"/>
      <c r="AL1371" s="145"/>
      <c r="AM1371" s="145"/>
      <c r="AN1371" s="145"/>
      <c r="AO1371" s="145"/>
      <c r="AP1371" s="145"/>
      <c r="AQ1371" s="145"/>
    </row>
    <row r="1372" spans="37:43">
      <c r="AK1372" s="145"/>
      <c r="AL1372" s="145"/>
      <c r="AM1372" s="145"/>
      <c r="AN1372" s="145"/>
      <c r="AO1372" s="145"/>
      <c r="AP1372" s="145"/>
      <c r="AQ1372" s="145"/>
    </row>
    <row r="1373" spans="37:43">
      <c r="AK1373" s="145"/>
      <c r="AL1373" s="145"/>
      <c r="AM1373" s="145"/>
      <c r="AN1373" s="145"/>
      <c r="AO1373" s="145"/>
      <c r="AP1373" s="145"/>
      <c r="AQ1373" s="145"/>
    </row>
    <row r="1374" spans="37:43">
      <c r="AK1374" s="145"/>
      <c r="AL1374" s="145"/>
      <c r="AM1374" s="145"/>
      <c r="AN1374" s="145"/>
      <c r="AO1374" s="145"/>
      <c r="AP1374" s="145"/>
      <c r="AQ1374" s="145"/>
    </row>
    <row r="1375" spans="37:43">
      <c r="AK1375" s="145"/>
      <c r="AL1375" s="145"/>
      <c r="AM1375" s="145"/>
      <c r="AN1375" s="145"/>
      <c r="AO1375" s="145"/>
      <c r="AP1375" s="145"/>
      <c r="AQ1375" s="145"/>
    </row>
    <row r="1376" spans="37:43">
      <c r="AK1376" s="145"/>
      <c r="AL1376" s="145"/>
      <c r="AM1376" s="145"/>
      <c r="AN1376" s="145"/>
      <c r="AO1376" s="145"/>
      <c r="AP1376" s="145"/>
      <c r="AQ1376" s="145"/>
    </row>
    <row r="1377" spans="37:43">
      <c r="AK1377" s="145"/>
      <c r="AL1377" s="145"/>
      <c r="AM1377" s="145"/>
      <c r="AN1377" s="145"/>
      <c r="AO1377" s="145"/>
      <c r="AP1377" s="145"/>
      <c r="AQ1377" s="145"/>
    </row>
    <row r="1378" spans="37:43">
      <c r="AK1378" s="145"/>
      <c r="AL1378" s="145"/>
      <c r="AM1378" s="145"/>
      <c r="AN1378" s="145"/>
      <c r="AO1378" s="145"/>
      <c r="AP1378" s="145"/>
      <c r="AQ1378" s="145"/>
    </row>
    <row r="1379" spans="37:43">
      <c r="AK1379" s="145"/>
      <c r="AL1379" s="145"/>
      <c r="AM1379" s="145"/>
      <c r="AN1379" s="145"/>
      <c r="AO1379" s="145"/>
      <c r="AP1379" s="145"/>
      <c r="AQ1379" s="145"/>
    </row>
    <row r="1380" spans="37:43">
      <c r="AK1380" s="145"/>
      <c r="AL1380" s="145"/>
      <c r="AM1380" s="145"/>
      <c r="AN1380" s="145"/>
      <c r="AO1380" s="145"/>
      <c r="AP1380" s="145"/>
      <c r="AQ1380" s="145"/>
    </row>
    <row r="1381" spans="37:43">
      <c r="AK1381" s="145"/>
      <c r="AL1381" s="145"/>
      <c r="AM1381" s="145"/>
      <c r="AN1381" s="145"/>
      <c r="AO1381" s="145"/>
      <c r="AP1381" s="145"/>
      <c r="AQ1381" s="145"/>
    </row>
    <row r="1382" spans="37:43">
      <c r="AK1382" s="145"/>
      <c r="AL1382" s="145"/>
      <c r="AM1382" s="145"/>
      <c r="AN1382" s="145"/>
      <c r="AO1382" s="145"/>
      <c r="AP1382" s="145"/>
      <c r="AQ1382" s="145"/>
    </row>
    <row r="1383" spans="37:43">
      <c r="AK1383" s="145"/>
      <c r="AL1383" s="145"/>
      <c r="AM1383" s="145"/>
      <c r="AN1383" s="145"/>
      <c r="AO1383" s="145"/>
      <c r="AP1383" s="145"/>
      <c r="AQ1383" s="145"/>
    </row>
    <row r="1384" spans="37:43">
      <c r="AK1384" s="145"/>
      <c r="AL1384" s="145"/>
      <c r="AM1384" s="145"/>
      <c r="AN1384" s="145"/>
      <c r="AO1384" s="145"/>
      <c r="AP1384" s="145"/>
      <c r="AQ1384" s="145"/>
    </row>
    <row r="1385" spans="37:43">
      <c r="AK1385" s="145"/>
      <c r="AL1385" s="145"/>
      <c r="AM1385" s="145"/>
      <c r="AN1385" s="145"/>
      <c r="AO1385" s="145"/>
      <c r="AP1385" s="145"/>
      <c r="AQ1385" s="145"/>
    </row>
    <row r="1386" spans="37:43">
      <c r="AK1386" s="145"/>
      <c r="AL1386" s="145"/>
      <c r="AM1386" s="145"/>
      <c r="AN1386" s="145"/>
      <c r="AO1386" s="145"/>
      <c r="AP1386" s="145"/>
      <c r="AQ1386" s="145"/>
    </row>
    <row r="1387" spans="37:43">
      <c r="AK1387" s="145"/>
      <c r="AL1387" s="145"/>
      <c r="AM1387" s="145"/>
      <c r="AN1387" s="145"/>
      <c r="AO1387" s="145"/>
      <c r="AP1387" s="145"/>
      <c r="AQ1387" s="145"/>
    </row>
    <row r="1388" spans="37:43">
      <c r="AK1388" s="145"/>
      <c r="AL1388" s="145"/>
      <c r="AM1388" s="145"/>
      <c r="AN1388" s="145"/>
      <c r="AO1388" s="145"/>
      <c r="AP1388" s="145"/>
      <c r="AQ1388" s="145"/>
    </row>
    <row r="1389" spans="37:43">
      <c r="AK1389" s="145"/>
      <c r="AL1389" s="145"/>
      <c r="AM1389" s="145"/>
      <c r="AN1389" s="145"/>
      <c r="AO1389" s="145"/>
      <c r="AP1389" s="145"/>
      <c r="AQ1389" s="145"/>
    </row>
    <row r="1390" spans="37:43">
      <c r="AK1390" s="145"/>
      <c r="AL1390" s="145"/>
      <c r="AM1390" s="145"/>
      <c r="AN1390" s="145"/>
      <c r="AO1390" s="145"/>
      <c r="AP1390" s="145"/>
      <c r="AQ1390" s="145"/>
    </row>
    <row r="1391" spans="37:43">
      <c r="AK1391" s="145"/>
      <c r="AL1391" s="145"/>
      <c r="AM1391" s="145"/>
      <c r="AN1391" s="145"/>
      <c r="AO1391" s="145"/>
      <c r="AP1391" s="145"/>
      <c r="AQ1391" s="145"/>
    </row>
    <row r="1392" spans="37:43">
      <c r="AK1392" s="145"/>
      <c r="AL1392" s="145"/>
      <c r="AM1392" s="145"/>
      <c r="AN1392" s="145"/>
      <c r="AO1392" s="145"/>
      <c r="AP1392" s="145"/>
      <c r="AQ1392" s="145"/>
    </row>
    <row r="1393" spans="37:43">
      <c r="AK1393" s="145"/>
      <c r="AL1393" s="145"/>
      <c r="AM1393" s="145"/>
      <c r="AN1393" s="145"/>
      <c r="AO1393" s="145"/>
      <c r="AP1393" s="145"/>
      <c r="AQ1393" s="145"/>
    </row>
    <row r="1394" spans="37:43">
      <c r="AK1394" s="145"/>
      <c r="AL1394" s="145"/>
      <c r="AM1394" s="145"/>
      <c r="AN1394" s="145"/>
      <c r="AO1394" s="145"/>
      <c r="AP1394" s="145"/>
      <c r="AQ1394" s="145"/>
    </row>
    <row r="1395" spans="37:43">
      <c r="AK1395" s="145"/>
      <c r="AL1395" s="145"/>
      <c r="AM1395" s="145"/>
      <c r="AN1395" s="145"/>
      <c r="AO1395" s="145"/>
      <c r="AP1395" s="145"/>
      <c r="AQ1395" s="145"/>
    </row>
    <row r="1396" spans="37:43">
      <c r="AK1396" s="145"/>
      <c r="AL1396" s="145"/>
      <c r="AM1396" s="145"/>
      <c r="AN1396" s="145"/>
      <c r="AO1396" s="145"/>
      <c r="AP1396" s="145"/>
      <c r="AQ1396" s="145"/>
    </row>
    <row r="1397" spans="37:43">
      <c r="AK1397" s="145"/>
      <c r="AL1397" s="145"/>
      <c r="AM1397" s="145"/>
      <c r="AN1397" s="145"/>
      <c r="AO1397" s="145"/>
      <c r="AP1397" s="145"/>
      <c r="AQ1397" s="145"/>
    </row>
    <row r="1398" spans="37:43">
      <c r="AK1398" s="145"/>
      <c r="AL1398" s="145"/>
      <c r="AM1398" s="145"/>
      <c r="AN1398" s="145"/>
      <c r="AO1398" s="145"/>
      <c r="AP1398" s="145"/>
      <c r="AQ1398" s="145"/>
    </row>
    <row r="1399" spans="37:43">
      <c r="AK1399" s="145"/>
      <c r="AL1399" s="145"/>
      <c r="AM1399" s="145"/>
      <c r="AN1399" s="145"/>
      <c r="AO1399" s="145"/>
      <c r="AP1399" s="145"/>
      <c r="AQ1399" s="145"/>
    </row>
    <row r="1400" spans="37:43">
      <c r="AK1400" s="145"/>
      <c r="AL1400" s="145"/>
      <c r="AM1400" s="145"/>
      <c r="AN1400" s="145"/>
      <c r="AO1400" s="145"/>
      <c r="AP1400" s="145"/>
      <c r="AQ1400" s="145"/>
    </row>
    <row r="1401" spans="37:43">
      <c r="AK1401" s="145"/>
      <c r="AL1401" s="145"/>
      <c r="AM1401" s="145"/>
      <c r="AN1401" s="145"/>
      <c r="AO1401" s="145"/>
      <c r="AP1401" s="145"/>
      <c r="AQ1401" s="145"/>
    </row>
    <row r="1402" spans="37:43">
      <c r="AK1402" s="145"/>
      <c r="AL1402" s="145"/>
      <c r="AM1402" s="145"/>
      <c r="AN1402" s="145"/>
      <c r="AO1402" s="145"/>
      <c r="AP1402" s="145"/>
      <c r="AQ1402" s="145"/>
    </row>
    <row r="1403" spans="37:43">
      <c r="AK1403" s="145"/>
      <c r="AL1403" s="145"/>
      <c r="AM1403" s="145"/>
      <c r="AN1403" s="145"/>
      <c r="AO1403" s="145"/>
      <c r="AP1403" s="145"/>
      <c r="AQ1403" s="145"/>
    </row>
    <row r="1404" spans="37:43">
      <c r="AK1404" s="145"/>
      <c r="AL1404" s="145"/>
      <c r="AM1404" s="145"/>
      <c r="AN1404" s="145"/>
      <c r="AO1404" s="145"/>
      <c r="AP1404" s="145"/>
      <c r="AQ1404" s="145"/>
    </row>
    <row r="1405" spans="37:43">
      <c r="AK1405" s="145"/>
      <c r="AL1405" s="145"/>
      <c r="AM1405" s="145"/>
      <c r="AN1405" s="145"/>
      <c r="AO1405" s="145"/>
      <c r="AP1405" s="145"/>
      <c r="AQ1405" s="145"/>
    </row>
    <row r="1406" spans="37:43">
      <c r="AK1406" s="145"/>
      <c r="AL1406" s="145"/>
      <c r="AM1406" s="145"/>
      <c r="AN1406" s="145"/>
      <c r="AO1406" s="145"/>
      <c r="AP1406" s="145"/>
      <c r="AQ1406" s="145"/>
    </row>
    <row r="1407" spans="37:43">
      <c r="AK1407" s="145"/>
      <c r="AL1407" s="145"/>
      <c r="AM1407" s="145"/>
      <c r="AN1407" s="145"/>
      <c r="AO1407" s="145"/>
      <c r="AP1407" s="145"/>
      <c r="AQ1407" s="145"/>
    </row>
    <row r="1408" spans="37:43">
      <c r="AK1408" s="145"/>
      <c r="AL1408" s="145"/>
      <c r="AM1408" s="145"/>
      <c r="AN1408" s="145"/>
      <c r="AO1408" s="145"/>
      <c r="AP1408" s="145"/>
      <c r="AQ1408" s="145"/>
    </row>
    <row r="1409" spans="37:43">
      <c r="AK1409" s="145"/>
      <c r="AL1409" s="145"/>
      <c r="AM1409" s="145"/>
      <c r="AN1409" s="145"/>
      <c r="AO1409" s="145"/>
      <c r="AP1409" s="145"/>
      <c r="AQ1409" s="145"/>
    </row>
    <row r="1410" spans="37:43">
      <c r="AK1410" s="145"/>
      <c r="AL1410" s="145"/>
      <c r="AM1410" s="145"/>
      <c r="AN1410" s="145"/>
      <c r="AO1410" s="145"/>
      <c r="AP1410" s="145"/>
      <c r="AQ1410" s="145"/>
    </row>
    <row r="1411" spans="37:43">
      <c r="AK1411" s="145"/>
      <c r="AL1411" s="145"/>
      <c r="AM1411" s="145"/>
      <c r="AN1411" s="145"/>
      <c r="AO1411" s="145"/>
      <c r="AP1411" s="145"/>
      <c r="AQ1411" s="145"/>
    </row>
    <row r="1412" spans="37:43">
      <c r="AK1412" s="145"/>
      <c r="AL1412" s="145"/>
      <c r="AM1412" s="145"/>
      <c r="AN1412" s="145"/>
      <c r="AO1412" s="145"/>
      <c r="AP1412" s="145"/>
      <c r="AQ1412" s="145"/>
    </row>
    <row r="1413" spans="37:43">
      <c r="AK1413" s="145"/>
      <c r="AL1413" s="145"/>
      <c r="AM1413" s="145"/>
      <c r="AN1413" s="145"/>
      <c r="AO1413" s="145"/>
      <c r="AP1413" s="145"/>
      <c r="AQ1413" s="145"/>
    </row>
    <row r="1414" spans="37:43">
      <c r="AK1414" s="145"/>
      <c r="AL1414" s="145"/>
      <c r="AM1414" s="145"/>
      <c r="AN1414" s="145"/>
      <c r="AO1414" s="145"/>
      <c r="AP1414" s="145"/>
      <c r="AQ1414" s="145"/>
    </row>
    <row r="1415" spans="37:43">
      <c r="AK1415" s="145"/>
      <c r="AL1415" s="145"/>
      <c r="AM1415" s="145"/>
      <c r="AN1415" s="145"/>
      <c r="AO1415" s="145"/>
      <c r="AP1415" s="145"/>
      <c r="AQ1415" s="145"/>
    </row>
    <row r="1416" spans="37:43">
      <c r="AK1416" s="145"/>
      <c r="AL1416" s="145"/>
      <c r="AM1416" s="145"/>
      <c r="AN1416" s="145"/>
      <c r="AO1416" s="145"/>
      <c r="AP1416" s="145"/>
      <c r="AQ1416" s="145"/>
    </row>
    <row r="1417" spans="37:43">
      <c r="AK1417" s="145"/>
      <c r="AL1417" s="145"/>
      <c r="AM1417" s="145"/>
      <c r="AN1417" s="145"/>
      <c r="AO1417" s="145"/>
      <c r="AP1417" s="145"/>
      <c r="AQ1417" s="145"/>
    </row>
    <row r="1418" spans="37:43">
      <c r="AK1418" s="145"/>
      <c r="AL1418" s="145"/>
      <c r="AM1418" s="145"/>
      <c r="AN1418" s="145"/>
      <c r="AO1418" s="145"/>
      <c r="AP1418" s="145"/>
      <c r="AQ1418" s="145"/>
    </row>
    <row r="1419" spans="37:43">
      <c r="AK1419" s="145"/>
      <c r="AL1419" s="145"/>
      <c r="AM1419" s="145"/>
      <c r="AN1419" s="145"/>
      <c r="AO1419" s="145"/>
      <c r="AP1419" s="145"/>
      <c r="AQ1419" s="145"/>
    </row>
    <row r="1420" spans="37:43">
      <c r="AK1420" s="145"/>
      <c r="AL1420" s="145"/>
      <c r="AM1420" s="145"/>
      <c r="AN1420" s="145"/>
      <c r="AO1420" s="145"/>
      <c r="AP1420" s="145"/>
      <c r="AQ1420" s="145"/>
    </row>
    <row r="1421" spans="37:43">
      <c r="AK1421" s="145"/>
      <c r="AL1421" s="145"/>
      <c r="AM1421" s="145"/>
      <c r="AN1421" s="145"/>
      <c r="AO1421" s="145"/>
      <c r="AP1421" s="145"/>
      <c r="AQ1421" s="145"/>
    </row>
    <row r="1422" spans="37:43">
      <c r="AK1422" s="145"/>
      <c r="AL1422" s="145"/>
      <c r="AM1422" s="145"/>
      <c r="AN1422" s="145"/>
      <c r="AO1422" s="145"/>
      <c r="AP1422" s="145"/>
      <c r="AQ1422" s="145"/>
    </row>
    <row r="1423" spans="37:43">
      <c r="AK1423" s="145"/>
      <c r="AL1423" s="145"/>
      <c r="AM1423" s="145"/>
      <c r="AN1423" s="145"/>
      <c r="AO1423" s="145"/>
      <c r="AP1423" s="145"/>
      <c r="AQ1423" s="145"/>
    </row>
    <row r="1424" spans="37:43">
      <c r="AK1424" s="145"/>
      <c r="AL1424" s="145"/>
      <c r="AM1424" s="145"/>
      <c r="AN1424" s="145"/>
      <c r="AO1424" s="145"/>
      <c r="AP1424" s="145"/>
      <c r="AQ1424" s="145"/>
    </row>
    <row r="1425" spans="37:43">
      <c r="AK1425" s="145"/>
      <c r="AL1425" s="145"/>
      <c r="AM1425" s="145"/>
      <c r="AN1425" s="145"/>
      <c r="AO1425" s="145"/>
      <c r="AP1425" s="145"/>
      <c r="AQ1425" s="145"/>
    </row>
    <row r="1426" spans="37:43">
      <c r="AK1426" s="145"/>
      <c r="AL1426" s="145"/>
      <c r="AM1426" s="145"/>
      <c r="AN1426" s="145"/>
      <c r="AO1426" s="145"/>
      <c r="AP1426" s="145"/>
      <c r="AQ1426" s="145"/>
    </row>
    <row r="1427" spans="37:43">
      <c r="AK1427" s="145"/>
      <c r="AL1427" s="145"/>
      <c r="AM1427" s="145"/>
      <c r="AN1427" s="145"/>
      <c r="AO1427" s="145"/>
      <c r="AP1427" s="145"/>
      <c r="AQ1427" s="145"/>
    </row>
    <row r="1428" spans="37:43">
      <c r="AK1428" s="145"/>
      <c r="AL1428" s="145"/>
      <c r="AM1428" s="145"/>
      <c r="AN1428" s="145"/>
      <c r="AO1428" s="145"/>
      <c r="AP1428" s="145"/>
      <c r="AQ1428" s="145"/>
    </row>
    <row r="1429" spans="37:43">
      <c r="AK1429" s="145"/>
      <c r="AL1429" s="145"/>
      <c r="AM1429" s="145"/>
      <c r="AN1429" s="145"/>
      <c r="AO1429" s="145"/>
      <c r="AP1429" s="145"/>
      <c r="AQ1429" s="145"/>
    </row>
    <row r="1430" spans="37:43">
      <c r="AK1430" s="145"/>
      <c r="AL1430" s="145"/>
      <c r="AM1430" s="145"/>
      <c r="AN1430" s="145"/>
      <c r="AO1430" s="145"/>
      <c r="AP1430" s="145"/>
      <c r="AQ1430" s="145"/>
    </row>
    <row r="1431" spans="37:43">
      <c r="AK1431" s="145"/>
      <c r="AL1431" s="145"/>
      <c r="AM1431" s="145"/>
      <c r="AN1431" s="145"/>
      <c r="AO1431" s="145"/>
      <c r="AP1431" s="145"/>
      <c r="AQ1431" s="145"/>
    </row>
    <row r="1432" spans="37:43">
      <c r="AK1432" s="145"/>
      <c r="AL1432" s="145"/>
      <c r="AM1432" s="145"/>
      <c r="AN1432" s="145"/>
      <c r="AO1432" s="145"/>
      <c r="AP1432" s="145"/>
      <c r="AQ1432" s="145"/>
    </row>
    <row r="1433" spans="37:43">
      <c r="AK1433" s="145"/>
      <c r="AL1433" s="145"/>
      <c r="AM1433" s="145"/>
      <c r="AN1433" s="145"/>
      <c r="AO1433" s="145"/>
      <c r="AP1433" s="145"/>
      <c r="AQ1433" s="145"/>
    </row>
    <row r="1434" spans="37:43">
      <c r="AK1434" s="145"/>
      <c r="AL1434" s="145"/>
      <c r="AM1434" s="145"/>
      <c r="AN1434" s="145"/>
      <c r="AO1434" s="145"/>
      <c r="AP1434" s="145"/>
      <c r="AQ1434" s="145"/>
    </row>
    <row r="1435" spans="37:43">
      <c r="AK1435" s="145"/>
      <c r="AL1435" s="145"/>
      <c r="AM1435" s="145"/>
      <c r="AN1435" s="145"/>
      <c r="AO1435" s="145"/>
      <c r="AP1435" s="145"/>
      <c r="AQ1435" s="145"/>
    </row>
    <row r="1436" spans="37:43">
      <c r="AK1436" s="145"/>
      <c r="AL1436" s="145"/>
      <c r="AM1436" s="145"/>
      <c r="AN1436" s="145"/>
      <c r="AO1436" s="145"/>
      <c r="AP1436" s="145"/>
      <c r="AQ1436" s="145"/>
    </row>
    <row r="1437" spans="37:43">
      <c r="AK1437" s="145"/>
      <c r="AL1437" s="145"/>
      <c r="AM1437" s="145"/>
      <c r="AN1437" s="145"/>
      <c r="AO1437" s="145"/>
      <c r="AP1437" s="145"/>
      <c r="AQ1437" s="145"/>
    </row>
    <row r="1438" spans="37:43">
      <c r="AK1438" s="145"/>
      <c r="AL1438" s="145"/>
      <c r="AM1438" s="145"/>
      <c r="AN1438" s="145"/>
      <c r="AO1438" s="145"/>
      <c r="AP1438" s="145"/>
      <c r="AQ1438" s="145"/>
    </row>
    <row r="1439" spans="37:43">
      <c r="AK1439" s="145"/>
      <c r="AL1439" s="145"/>
      <c r="AM1439" s="145"/>
      <c r="AN1439" s="145"/>
      <c r="AO1439" s="145"/>
      <c r="AP1439" s="145"/>
      <c r="AQ1439" s="145"/>
    </row>
    <row r="1440" spans="37:43">
      <c r="AK1440" s="145"/>
      <c r="AL1440" s="145"/>
      <c r="AM1440" s="145"/>
      <c r="AN1440" s="145"/>
      <c r="AO1440" s="145"/>
      <c r="AP1440" s="145"/>
      <c r="AQ1440" s="145"/>
    </row>
    <row r="1441" spans="37:43">
      <c r="AK1441" s="145"/>
      <c r="AL1441" s="145"/>
      <c r="AM1441" s="145"/>
      <c r="AN1441" s="145"/>
      <c r="AO1441" s="145"/>
      <c r="AP1441" s="145"/>
      <c r="AQ1441" s="145"/>
    </row>
    <row r="1442" spans="37:43">
      <c r="AK1442" s="145"/>
      <c r="AL1442" s="145"/>
      <c r="AM1442" s="145"/>
      <c r="AN1442" s="145"/>
      <c r="AO1442" s="145"/>
      <c r="AP1442" s="145"/>
      <c r="AQ1442" s="145"/>
    </row>
    <row r="1443" spans="37:43">
      <c r="AK1443" s="145"/>
      <c r="AL1443" s="145"/>
      <c r="AM1443" s="145"/>
      <c r="AN1443" s="145"/>
      <c r="AO1443" s="145"/>
      <c r="AP1443" s="145"/>
      <c r="AQ1443" s="145"/>
    </row>
    <row r="1444" spans="37:43">
      <c r="AK1444" s="145"/>
      <c r="AL1444" s="145"/>
      <c r="AM1444" s="145"/>
      <c r="AN1444" s="145"/>
      <c r="AO1444" s="145"/>
      <c r="AP1444" s="145"/>
      <c r="AQ1444" s="145"/>
    </row>
    <row r="1445" spans="37:43">
      <c r="AK1445" s="145"/>
      <c r="AL1445" s="145"/>
      <c r="AM1445" s="145"/>
      <c r="AN1445" s="145"/>
      <c r="AO1445" s="145"/>
      <c r="AP1445" s="145"/>
      <c r="AQ1445" s="145"/>
    </row>
    <row r="1446" spans="37:43">
      <c r="AK1446" s="145"/>
      <c r="AL1446" s="145"/>
      <c r="AM1446" s="145"/>
      <c r="AN1446" s="145"/>
      <c r="AO1446" s="145"/>
      <c r="AP1446" s="145"/>
      <c r="AQ1446" s="145"/>
    </row>
    <row r="1447" spans="37:43">
      <c r="AK1447" s="145"/>
      <c r="AL1447" s="145"/>
      <c r="AM1447" s="145"/>
      <c r="AN1447" s="145"/>
      <c r="AO1447" s="145"/>
      <c r="AP1447" s="145"/>
      <c r="AQ1447" s="145"/>
    </row>
    <row r="1448" spans="37:43">
      <c r="AK1448" s="145"/>
      <c r="AL1448" s="145"/>
      <c r="AM1448" s="145"/>
      <c r="AN1448" s="145"/>
      <c r="AO1448" s="145"/>
      <c r="AP1448" s="145"/>
      <c r="AQ1448" s="145"/>
    </row>
    <row r="1449" spans="37:43">
      <c r="AK1449" s="145"/>
      <c r="AL1449" s="145"/>
      <c r="AM1449" s="145"/>
      <c r="AN1449" s="145"/>
      <c r="AO1449" s="145"/>
      <c r="AP1449" s="145"/>
      <c r="AQ1449" s="145"/>
    </row>
    <row r="1450" spans="37:43">
      <c r="AK1450" s="145"/>
      <c r="AL1450" s="145"/>
      <c r="AM1450" s="145"/>
      <c r="AN1450" s="145"/>
      <c r="AO1450" s="145"/>
      <c r="AP1450" s="145"/>
      <c r="AQ1450" s="145"/>
    </row>
    <row r="1451" spans="37:43">
      <c r="AK1451" s="145"/>
      <c r="AL1451" s="145"/>
      <c r="AM1451" s="145"/>
      <c r="AN1451" s="145"/>
      <c r="AO1451" s="145"/>
      <c r="AP1451" s="145"/>
      <c r="AQ1451" s="145"/>
    </row>
    <row r="1452" spans="37:43">
      <c r="AK1452" s="145"/>
      <c r="AL1452" s="145"/>
      <c r="AM1452" s="145"/>
      <c r="AN1452" s="145"/>
      <c r="AO1452" s="145"/>
      <c r="AP1452" s="145"/>
      <c r="AQ1452" s="145"/>
    </row>
    <row r="1453" spans="37:43">
      <c r="AK1453" s="145"/>
      <c r="AL1453" s="145"/>
      <c r="AM1453" s="145"/>
      <c r="AN1453" s="145"/>
      <c r="AO1453" s="145"/>
      <c r="AP1453" s="145"/>
      <c r="AQ1453" s="145"/>
    </row>
    <row r="1454" spans="37:43">
      <c r="AK1454" s="145"/>
      <c r="AL1454" s="145"/>
      <c r="AM1454" s="145"/>
      <c r="AN1454" s="145"/>
      <c r="AO1454" s="145"/>
      <c r="AP1454" s="145"/>
      <c r="AQ1454" s="145"/>
    </row>
    <row r="1455" spans="37:43">
      <c r="AK1455" s="145"/>
      <c r="AL1455" s="145"/>
      <c r="AM1455" s="145"/>
      <c r="AN1455" s="145"/>
      <c r="AO1455" s="145"/>
      <c r="AP1455" s="145"/>
      <c r="AQ1455" s="145"/>
    </row>
    <row r="1456" spans="37:43">
      <c r="AK1456" s="145"/>
      <c r="AL1456" s="145"/>
      <c r="AM1456" s="145"/>
      <c r="AN1456" s="145"/>
      <c r="AO1456" s="145"/>
      <c r="AP1456" s="145"/>
      <c r="AQ1456" s="145"/>
    </row>
    <row r="1457" spans="37:43">
      <c r="AK1457" s="145"/>
      <c r="AL1457" s="145"/>
      <c r="AM1457" s="145"/>
      <c r="AN1457" s="145"/>
      <c r="AO1457" s="145"/>
      <c r="AP1457" s="145"/>
      <c r="AQ1457" s="145"/>
    </row>
    <row r="1458" spans="37:43">
      <c r="AK1458" s="145"/>
      <c r="AL1458" s="145"/>
      <c r="AM1458" s="145"/>
      <c r="AN1458" s="145"/>
      <c r="AO1458" s="145"/>
      <c r="AP1458" s="145"/>
      <c r="AQ1458" s="145"/>
    </row>
    <row r="1459" spans="37:43">
      <c r="AK1459" s="145"/>
      <c r="AL1459" s="145"/>
      <c r="AM1459" s="145"/>
      <c r="AN1459" s="145"/>
      <c r="AO1459" s="145"/>
      <c r="AP1459" s="145"/>
      <c r="AQ1459" s="145"/>
    </row>
    <row r="1460" spans="37:43">
      <c r="AK1460" s="145"/>
      <c r="AL1460" s="145"/>
      <c r="AM1460" s="145"/>
      <c r="AN1460" s="145"/>
      <c r="AO1460" s="145"/>
      <c r="AP1460" s="145"/>
      <c r="AQ1460" s="145"/>
    </row>
    <row r="1461" spans="37:43">
      <c r="AK1461" s="145"/>
      <c r="AL1461" s="145"/>
      <c r="AM1461" s="145"/>
      <c r="AN1461" s="145"/>
      <c r="AO1461" s="145"/>
      <c r="AP1461" s="145"/>
      <c r="AQ1461" s="145"/>
    </row>
    <row r="1462" spans="37:43">
      <c r="AK1462" s="145"/>
      <c r="AL1462" s="145"/>
      <c r="AM1462" s="145"/>
      <c r="AN1462" s="145"/>
      <c r="AO1462" s="145"/>
      <c r="AP1462" s="145"/>
      <c r="AQ1462" s="145"/>
    </row>
    <row r="1463" spans="37:43">
      <c r="AK1463" s="145"/>
      <c r="AL1463" s="145"/>
      <c r="AM1463" s="145"/>
      <c r="AN1463" s="145"/>
      <c r="AO1463" s="145"/>
      <c r="AP1463" s="145"/>
      <c r="AQ1463" s="145"/>
    </row>
    <row r="1464" spans="37:43">
      <c r="AK1464" s="145"/>
      <c r="AL1464" s="145"/>
      <c r="AM1464" s="145"/>
      <c r="AN1464" s="145"/>
      <c r="AO1464" s="145"/>
      <c r="AP1464" s="145"/>
      <c r="AQ1464" s="145"/>
    </row>
    <row r="1465" spans="37:43">
      <c r="AK1465" s="145"/>
      <c r="AL1465" s="145"/>
      <c r="AM1465" s="145"/>
      <c r="AN1465" s="145"/>
      <c r="AO1465" s="145"/>
      <c r="AP1465" s="145"/>
      <c r="AQ1465" s="145"/>
    </row>
    <row r="1466" spans="37:43">
      <c r="AK1466" s="145"/>
      <c r="AL1466" s="145"/>
      <c r="AM1466" s="145"/>
      <c r="AN1466" s="145"/>
      <c r="AO1466" s="145"/>
      <c r="AP1466" s="145"/>
      <c r="AQ1466" s="145"/>
    </row>
    <row r="1467" spans="37:43">
      <c r="AK1467" s="145"/>
      <c r="AL1467" s="145"/>
      <c r="AM1467" s="145"/>
      <c r="AN1467" s="145"/>
      <c r="AO1467" s="145"/>
      <c r="AP1467" s="145"/>
      <c r="AQ1467" s="145"/>
    </row>
    <row r="1468" spans="37:43">
      <c r="AK1468" s="145"/>
      <c r="AL1468" s="145"/>
      <c r="AM1468" s="145"/>
      <c r="AN1468" s="145"/>
      <c r="AO1468" s="145"/>
      <c r="AP1468" s="145"/>
      <c r="AQ1468" s="145"/>
    </row>
    <row r="1469" spans="37:43">
      <c r="AK1469" s="145"/>
      <c r="AL1469" s="145"/>
      <c r="AM1469" s="145"/>
      <c r="AN1469" s="145"/>
      <c r="AO1469" s="145"/>
      <c r="AP1469" s="145"/>
      <c r="AQ1469" s="145"/>
    </row>
    <row r="1470" spans="37:43">
      <c r="AK1470" s="145"/>
      <c r="AL1470" s="145"/>
      <c r="AM1470" s="145"/>
      <c r="AN1470" s="145"/>
      <c r="AO1470" s="145"/>
      <c r="AP1470" s="145"/>
      <c r="AQ1470" s="145"/>
    </row>
    <row r="1471" spans="37:43">
      <c r="AK1471" s="145"/>
      <c r="AL1471" s="145"/>
      <c r="AM1471" s="145"/>
      <c r="AN1471" s="145"/>
      <c r="AO1471" s="145"/>
      <c r="AP1471" s="145"/>
      <c r="AQ1471" s="145"/>
    </row>
    <row r="1472" spans="37:43">
      <c r="AK1472" s="145"/>
      <c r="AL1472" s="145"/>
      <c r="AM1472" s="145"/>
      <c r="AN1472" s="145"/>
      <c r="AO1472" s="145"/>
      <c r="AP1472" s="145"/>
      <c r="AQ1472" s="145"/>
    </row>
    <row r="1473" spans="37:43">
      <c r="AK1473" s="145"/>
      <c r="AL1473" s="145"/>
      <c r="AM1473" s="145"/>
      <c r="AN1473" s="145"/>
      <c r="AO1473" s="145"/>
      <c r="AP1473" s="145"/>
      <c r="AQ1473" s="145"/>
    </row>
    <row r="1474" spans="37:43">
      <c r="AK1474" s="145"/>
      <c r="AL1474" s="145"/>
      <c r="AM1474" s="145"/>
      <c r="AN1474" s="145"/>
      <c r="AO1474" s="145"/>
      <c r="AP1474" s="145"/>
      <c r="AQ1474" s="145"/>
    </row>
    <row r="1475" spans="37:43">
      <c r="AK1475" s="145"/>
      <c r="AL1475" s="145"/>
      <c r="AM1475" s="145"/>
      <c r="AN1475" s="145"/>
      <c r="AO1475" s="145"/>
      <c r="AP1475" s="145"/>
      <c r="AQ1475" s="145"/>
    </row>
    <row r="1476" spans="37:43">
      <c r="AK1476" s="145"/>
      <c r="AL1476" s="145"/>
      <c r="AM1476" s="145"/>
      <c r="AN1476" s="145"/>
      <c r="AO1476" s="145"/>
      <c r="AP1476" s="145"/>
      <c r="AQ1476" s="145"/>
    </row>
    <row r="1477" spans="37:43">
      <c r="AK1477" s="145"/>
      <c r="AL1477" s="145"/>
      <c r="AM1477" s="145"/>
      <c r="AN1477" s="145"/>
      <c r="AO1477" s="145"/>
      <c r="AP1477" s="145"/>
      <c r="AQ1477" s="145"/>
    </row>
    <row r="1478" spans="37:43">
      <c r="AK1478" s="145"/>
      <c r="AL1478" s="145"/>
      <c r="AM1478" s="145"/>
      <c r="AN1478" s="145"/>
      <c r="AO1478" s="145"/>
      <c r="AP1478" s="145"/>
      <c r="AQ1478" s="145"/>
    </row>
    <row r="1479" spans="37:43">
      <c r="AK1479" s="145"/>
      <c r="AL1479" s="145"/>
      <c r="AM1479" s="145"/>
      <c r="AN1479" s="145"/>
      <c r="AO1479" s="145"/>
      <c r="AP1479" s="145"/>
      <c r="AQ1479" s="145"/>
    </row>
    <row r="1480" spans="37:43">
      <c r="AK1480" s="145"/>
      <c r="AL1480" s="145"/>
      <c r="AM1480" s="145"/>
      <c r="AN1480" s="145"/>
      <c r="AO1480" s="145"/>
      <c r="AP1480" s="145"/>
      <c r="AQ1480" s="145"/>
    </row>
    <row r="1481" spans="37:43">
      <c r="AK1481" s="145"/>
      <c r="AL1481" s="145"/>
      <c r="AM1481" s="145"/>
      <c r="AN1481" s="145"/>
      <c r="AO1481" s="145"/>
      <c r="AP1481" s="145"/>
      <c r="AQ1481" s="145"/>
    </row>
    <row r="1482" spans="37:43">
      <c r="AK1482" s="145"/>
      <c r="AL1482" s="145"/>
      <c r="AM1482" s="145"/>
      <c r="AN1482" s="145"/>
      <c r="AO1482" s="145"/>
      <c r="AP1482" s="145"/>
      <c r="AQ1482" s="145"/>
    </row>
    <row r="1483" spans="37:43">
      <c r="AK1483" s="145"/>
      <c r="AL1483" s="145"/>
      <c r="AM1483" s="145"/>
      <c r="AN1483" s="145"/>
      <c r="AO1483" s="145"/>
      <c r="AP1483" s="145"/>
      <c r="AQ1483" s="145"/>
    </row>
    <row r="1484" spans="37:43">
      <c r="AK1484" s="145"/>
      <c r="AL1484" s="145"/>
      <c r="AM1484" s="145"/>
      <c r="AN1484" s="145"/>
      <c r="AO1484" s="145"/>
      <c r="AP1484" s="145"/>
      <c r="AQ1484" s="145"/>
    </row>
    <row r="1485" spans="37:43">
      <c r="AK1485" s="145"/>
      <c r="AL1485" s="145"/>
      <c r="AM1485" s="145"/>
      <c r="AN1485" s="145"/>
      <c r="AO1485" s="145"/>
      <c r="AP1485" s="145"/>
      <c r="AQ1485" s="145"/>
    </row>
    <row r="1486" spans="37:43">
      <c r="AK1486" s="145"/>
      <c r="AL1486" s="145"/>
      <c r="AM1486" s="145"/>
      <c r="AN1486" s="145"/>
      <c r="AO1486" s="145"/>
      <c r="AP1486" s="145"/>
      <c r="AQ1486" s="145"/>
    </row>
    <row r="1487" spans="37:43">
      <c r="AK1487" s="145"/>
      <c r="AL1487" s="145"/>
      <c r="AM1487" s="145"/>
      <c r="AN1487" s="145"/>
      <c r="AO1487" s="145"/>
      <c r="AP1487" s="145"/>
      <c r="AQ1487" s="145"/>
    </row>
    <row r="1488" spans="37:43">
      <c r="AK1488" s="145"/>
      <c r="AL1488" s="145"/>
      <c r="AM1488" s="145"/>
      <c r="AN1488" s="145"/>
      <c r="AO1488" s="145"/>
      <c r="AP1488" s="145"/>
      <c r="AQ1488" s="145"/>
    </row>
    <row r="1489" spans="37:43">
      <c r="AK1489" s="145"/>
      <c r="AL1489" s="145"/>
      <c r="AM1489" s="145"/>
      <c r="AN1489" s="145"/>
      <c r="AO1489" s="145"/>
      <c r="AP1489" s="145"/>
      <c r="AQ1489" s="145"/>
    </row>
    <row r="1490" spans="37:43">
      <c r="AK1490" s="145"/>
      <c r="AL1490" s="145"/>
      <c r="AM1490" s="145"/>
      <c r="AN1490" s="145"/>
      <c r="AO1490" s="145"/>
      <c r="AP1490" s="145"/>
      <c r="AQ1490" s="145"/>
    </row>
    <row r="1491" spans="37:43">
      <c r="AK1491" s="145"/>
      <c r="AL1491" s="145"/>
      <c r="AM1491" s="145"/>
      <c r="AN1491" s="145"/>
      <c r="AO1491" s="145"/>
      <c r="AP1491" s="145"/>
      <c r="AQ1491" s="145"/>
    </row>
    <row r="1492" spans="37:43">
      <c r="AK1492" s="145"/>
      <c r="AL1492" s="145"/>
      <c r="AM1492" s="145"/>
      <c r="AN1492" s="145"/>
      <c r="AO1492" s="145"/>
      <c r="AP1492" s="145"/>
      <c r="AQ1492" s="145"/>
    </row>
    <row r="1493" spans="37:43">
      <c r="AK1493" s="145"/>
      <c r="AL1493" s="145"/>
      <c r="AM1493" s="145"/>
      <c r="AN1493" s="145"/>
      <c r="AO1493" s="145"/>
      <c r="AP1493" s="145"/>
      <c r="AQ1493" s="145"/>
    </row>
    <row r="1494" spans="37:43">
      <c r="AK1494" s="145"/>
      <c r="AL1494" s="145"/>
      <c r="AM1494" s="145"/>
      <c r="AN1494" s="145"/>
      <c r="AO1494" s="145"/>
      <c r="AP1494" s="145"/>
      <c r="AQ1494" s="145"/>
    </row>
    <row r="1495" spans="37:43">
      <c r="AK1495" s="145"/>
      <c r="AL1495" s="145"/>
      <c r="AM1495" s="145"/>
      <c r="AN1495" s="145"/>
      <c r="AO1495" s="145"/>
      <c r="AP1495" s="145"/>
      <c r="AQ1495" s="145"/>
    </row>
    <row r="1496" spans="37:43">
      <c r="AK1496" s="145"/>
      <c r="AL1496" s="145"/>
      <c r="AM1496" s="145"/>
      <c r="AN1496" s="145"/>
      <c r="AO1496" s="145"/>
      <c r="AP1496" s="145"/>
      <c r="AQ1496" s="145"/>
    </row>
    <row r="1497" spans="37:43">
      <c r="AK1497" s="145"/>
      <c r="AL1497" s="145"/>
      <c r="AM1497" s="145"/>
      <c r="AN1497" s="145"/>
      <c r="AO1497" s="145"/>
      <c r="AP1497" s="145"/>
      <c r="AQ1497" s="145"/>
    </row>
    <row r="1498" spans="37:43">
      <c r="AK1498" s="145"/>
      <c r="AL1498" s="145"/>
      <c r="AM1498" s="145"/>
      <c r="AN1498" s="145"/>
      <c r="AO1498" s="145"/>
      <c r="AP1498" s="145"/>
      <c r="AQ1498" s="145"/>
    </row>
    <row r="1499" spans="37:43">
      <c r="AK1499" s="145"/>
      <c r="AL1499" s="145"/>
      <c r="AM1499" s="145"/>
      <c r="AN1499" s="145"/>
      <c r="AO1499" s="145"/>
      <c r="AP1499" s="145"/>
      <c r="AQ1499" s="145"/>
    </row>
    <row r="1500" spans="37:43">
      <c r="AK1500" s="145"/>
      <c r="AL1500" s="145"/>
      <c r="AM1500" s="145"/>
      <c r="AN1500" s="145"/>
      <c r="AO1500" s="145"/>
      <c r="AP1500" s="145"/>
      <c r="AQ1500" s="145"/>
    </row>
    <row r="1501" spans="37:43">
      <c r="AK1501" s="145"/>
      <c r="AL1501" s="145"/>
      <c r="AM1501" s="145"/>
      <c r="AN1501" s="145"/>
      <c r="AO1501" s="145"/>
      <c r="AP1501" s="145"/>
      <c r="AQ1501" s="145"/>
    </row>
    <row r="1502" spans="37:43">
      <c r="AK1502" s="145"/>
      <c r="AL1502" s="145"/>
      <c r="AM1502" s="145"/>
      <c r="AN1502" s="145"/>
      <c r="AO1502" s="145"/>
      <c r="AP1502" s="145"/>
      <c r="AQ1502" s="145"/>
    </row>
    <row r="1503" spans="37:43">
      <c r="AK1503" s="145"/>
      <c r="AL1503" s="145"/>
      <c r="AM1503" s="145"/>
      <c r="AN1503" s="145"/>
      <c r="AO1503" s="145"/>
      <c r="AP1503" s="145"/>
      <c r="AQ1503" s="145"/>
    </row>
    <row r="1504" spans="37:43">
      <c r="AK1504" s="145"/>
      <c r="AL1504" s="145"/>
      <c r="AM1504" s="145"/>
      <c r="AN1504" s="145"/>
      <c r="AO1504" s="145"/>
      <c r="AP1504" s="145"/>
      <c r="AQ1504" s="145"/>
    </row>
    <row r="1505" spans="37:43">
      <c r="AK1505" s="145"/>
      <c r="AL1505" s="145"/>
      <c r="AM1505" s="145"/>
      <c r="AN1505" s="145"/>
      <c r="AO1505" s="145"/>
      <c r="AP1505" s="145"/>
      <c r="AQ1505" s="145"/>
    </row>
    <row r="1506" spans="37:43">
      <c r="AK1506" s="145"/>
      <c r="AL1506" s="145"/>
      <c r="AM1506" s="145"/>
      <c r="AN1506" s="145"/>
      <c r="AO1506" s="145"/>
      <c r="AP1506" s="145"/>
      <c r="AQ1506" s="145"/>
    </row>
    <row r="1507" spans="37:43">
      <c r="AK1507" s="145"/>
      <c r="AL1507" s="145"/>
      <c r="AM1507" s="145"/>
      <c r="AN1507" s="145"/>
      <c r="AO1507" s="145"/>
      <c r="AP1507" s="145"/>
      <c r="AQ1507" s="145"/>
    </row>
    <row r="1508" spans="37:43">
      <c r="AK1508" s="145"/>
      <c r="AL1508" s="145"/>
      <c r="AM1508" s="145"/>
      <c r="AN1508" s="145"/>
      <c r="AO1508" s="145"/>
      <c r="AP1508" s="145"/>
      <c r="AQ1508" s="145"/>
    </row>
    <row r="1509" spans="37:43">
      <c r="AK1509" s="145"/>
      <c r="AL1509" s="145"/>
      <c r="AM1509" s="145"/>
      <c r="AN1509" s="145"/>
      <c r="AO1509" s="145"/>
      <c r="AP1509" s="145"/>
      <c r="AQ1509" s="145"/>
    </row>
    <row r="1510" spans="37:43">
      <c r="AK1510" s="145"/>
      <c r="AL1510" s="145"/>
      <c r="AM1510" s="145"/>
      <c r="AN1510" s="145"/>
      <c r="AO1510" s="145"/>
      <c r="AP1510" s="145"/>
      <c r="AQ1510" s="145"/>
    </row>
    <row r="1511" spans="37:43">
      <c r="AK1511" s="145"/>
      <c r="AL1511" s="145"/>
      <c r="AM1511" s="145"/>
      <c r="AN1511" s="145"/>
      <c r="AO1511" s="145"/>
      <c r="AP1511" s="145"/>
      <c r="AQ1511" s="145"/>
    </row>
    <row r="1512" spans="37:43">
      <c r="AK1512" s="145"/>
      <c r="AL1512" s="145"/>
      <c r="AM1512" s="145"/>
      <c r="AN1512" s="145"/>
      <c r="AO1512" s="145"/>
      <c r="AP1512" s="145"/>
      <c r="AQ1512" s="145"/>
    </row>
    <row r="1513" spans="37:43">
      <c r="AK1513" s="145"/>
      <c r="AL1513" s="145"/>
      <c r="AM1513" s="145"/>
      <c r="AN1513" s="145"/>
      <c r="AO1513" s="145"/>
      <c r="AP1513" s="145"/>
      <c r="AQ1513" s="145"/>
    </row>
    <row r="1514" spans="37:43">
      <c r="AK1514" s="145"/>
      <c r="AL1514" s="145"/>
      <c r="AM1514" s="145"/>
      <c r="AN1514" s="145"/>
      <c r="AO1514" s="145"/>
      <c r="AP1514" s="145"/>
      <c r="AQ1514" s="145"/>
    </row>
    <row r="1515" spans="37:43">
      <c r="AK1515" s="145"/>
      <c r="AL1515" s="145"/>
      <c r="AM1515" s="145"/>
      <c r="AN1515" s="145"/>
      <c r="AO1515" s="145"/>
      <c r="AP1515" s="145"/>
      <c r="AQ1515" s="145"/>
    </row>
    <row r="1516" spans="37:43">
      <c r="AK1516" s="145"/>
      <c r="AL1516" s="145"/>
      <c r="AM1516" s="145"/>
      <c r="AN1516" s="145"/>
      <c r="AO1516" s="145"/>
      <c r="AP1516" s="145"/>
      <c r="AQ1516" s="145"/>
    </row>
    <row r="1517" spans="37:43">
      <c r="AK1517" s="145"/>
      <c r="AL1517" s="145"/>
      <c r="AM1517" s="145"/>
      <c r="AN1517" s="145"/>
      <c r="AO1517" s="145"/>
      <c r="AP1517" s="145"/>
      <c r="AQ1517" s="145"/>
    </row>
    <row r="1518" spans="37:43">
      <c r="AK1518" s="145"/>
      <c r="AL1518" s="145"/>
      <c r="AM1518" s="145"/>
      <c r="AN1518" s="145"/>
      <c r="AO1518" s="145"/>
      <c r="AP1518" s="145"/>
      <c r="AQ1518" s="145"/>
    </row>
    <row r="1519" spans="37:43">
      <c r="AK1519" s="145"/>
      <c r="AL1519" s="145"/>
      <c r="AM1519" s="145"/>
      <c r="AN1519" s="145"/>
      <c r="AO1519" s="145"/>
      <c r="AP1519" s="145"/>
      <c r="AQ1519" s="145"/>
    </row>
    <row r="1520" spans="37:43">
      <c r="AK1520" s="145"/>
      <c r="AL1520" s="145"/>
      <c r="AM1520" s="145"/>
      <c r="AN1520" s="145"/>
      <c r="AO1520" s="145"/>
      <c r="AP1520" s="145"/>
      <c r="AQ1520" s="145"/>
    </row>
    <row r="1521" spans="37:43">
      <c r="AK1521" s="145"/>
      <c r="AL1521" s="145"/>
      <c r="AM1521" s="145"/>
      <c r="AN1521" s="145"/>
      <c r="AO1521" s="145"/>
      <c r="AP1521" s="145"/>
      <c r="AQ1521" s="145"/>
    </row>
    <row r="1522" spans="37:43">
      <c r="AK1522" s="145"/>
      <c r="AL1522" s="145"/>
      <c r="AM1522" s="145"/>
      <c r="AN1522" s="145"/>
      <c r="AO1522" s="145"/>
      <c r="AP1522" s="145"/>
      <c r="AQ1522" s="145"/>
    </row>
    <row r="1523" spans="37:43">
      <c r="AK1523" s="145"/>
      <c r="AL1523" s="145"/>
      <c r="AM1523" s="145"/>
      <c r="AN1523" s="145"/>
      <c r="AO1523" s="145"/>
      <c r="AP1523" s="145"/>
      <c r="AQ1523" s="145"/>
    </row>
    <row r="1524" spans="37:43">
      <c r="AK1524" s="145"/>
      <c r="AL1524" s="145"/>
      <c r="AM1524" s="145"/>
      <c r="AN1524" s="145"/>
      <c r="AO1524" s="145"/>
      <c r="AP1524" s="145"/>
      <c r="AQ1524" s="145"/>
    </row>
    <row r="1525" spans="37:43">
      <c r="AK1525" s="145"/>
      <c r="AL1525" s="145"/>
      <c r="AM1525" s="145"/>
      <c r="AN1525" s="145"/>
      <c r="AO1525" s="145"/>
      <c r="AP1525" s="145"/>
      <c r="AQ1525" s="145"/>
    </row>
    <row r="1526" spans="37:43">
      <c r="AK1526" s="145"/>
      <c r="AL1526" s="145"/>
      <c r="AM1526" s="145"/>
      <c r="AN1526" s="145"/>
      <c r="AO1526" s="145"/>
      <c r="AP1526" s="145"/>
      <c r="AQ1526" s="145"/>
    </row>
    <row r="1527" spans="37:43">
      <c r="AK1527" s="145"/>
      <c r="AL1527" s="145"/>
      <c r="AM1527" s="145"/>
      <c r="AN1527" s="145"/>
      <c r="AO1527" s="145"/>
      <c r="AP1527" s="145"/>
      <c r="AQ1527" s="145"/>
    </row>
    <row r="1528" spans="37:43">
      <c r="AK1528" s="145"/>
      <c r="AL1528" s="145"/>
      <c r="AM1528" s="145"/>
      <c r="AN1528" s="145"/>
      <c r="AO1528" s="145"/>
      <c r="AP1528" s="145"/>
      <c r="AQ1528" s="145"/>
    </row>
    <row r="1529" spans="37:43">
      <c r="AK1529" s="145"/>
      <c r="AL1529" s="145"/>
      <c r="AM1529" s="145"/>
      <c r="AN1529" s="145"/>
      <c r="AO1529" s="145"/>
      <c r="AP1529" s="145"/>
      <c r="AQ1529" s="145"/>
    </row>
    <row r="1530" spans="37:43">
      <c r="AK1530" s="145"/>
      <c r="AL1530" s="145"/>
      <c r="AM1530" s="145"/>
      <c r="AN1530" s="145"/>
      <c r="AO1530" s="145"/>
      <c r="AP1530" s="145"/>
      <c r="AQ1530" s="145"/>
    </row>
    <row r="1531" spans="37:43">
      <c r="AK1531" s="145"/>
      <c r="AL1531" s="145"/>
      <c r="AM1531" s="145"/>
      <c r="AN1531" s="145"/>
      <c r="AO1531" s="145"/>
      <c r="AP1531" s="145"/>
      <c r="AQ1531" s="145"/>
    </row>
    <row r="1532" spans="37:43">
      <c r="AK1532" s="145"/>
      <c r="AL1532" s="145"/>
      <c r="AM1532" s="145"/>
      <c r="AN1532" s="145"/>
      <c r="AO1532" s="145"/>
      <c r="AP1532" s="145"/>
      <c r="AQ1532" s="145"/>
    </row>
    <row r="1533" spans="37:43">
      <c r="AK1533" s="145"/>
      <c r="AL1533" s="145"/>
      <c r="AM1533" s="145"/>
      <c r="AN1533" s="145"/>
      <c r="AO1533" s="145"/>
      <c r="AP1533" s="145"/>
      <c r="AQ1533" s="145"/>
    </row>
    <row r="1534" spans="37:43">
      <c r="AK1534" s="145"/>
      <c r="AL1534" s="145"/>
      <c r="AM1534" s="145"/>
      <c r="AN1534" s="145"/>
      <c r="AO1534" s="145"/>
      <c r="AP1534" s="145"/>
      <c r="AQ1534" s="145"/>
    </row>
    <row r="1535" spans="37:43">
      <c r="AK1535" s="145"/>
      <c r="AL1535" s="145"/>
      <c r="AM1535" s="145"/>
      <c r="AN1535" s="145"/>
      <c r="AO1535" s="145"/>
      <c r="AP1535" s="145"/>
      <c r="AQ1535" s="145"/>
    </row>
    <row r="1536" spans="37:43">
      <c r="AK1536" s="145"/>
      <c r="AL1536" s="145"/>
      <c r="AM1536" s="145"/>
      <c r="AN1536" s="145"/>
      <c r="AO1536" s="145"/>
      <c r="AP1536" s="145"/>
      <c r="AQ1536" s="145"/>
    </row>
    <row r="1537" spans="37:43">
      <c r="AK1537" s="145"/>
      <c r="AL1537" s="145"/>
      <c r="AM1537" s="145"/>
      <c r="AN1537" s="145"/>
      <c r="AO1537" s="145"/>
      <c r="AP1537" s="145"/>
      <c r="AQ1537" s="145"/>
    </row>
    <row r="1538" spans="37:43">
      <c r="AK1538" s="145"/>
      <c r="AL1538" s="145"/>
      <c r="AM1538" s="145"/>
      <c r="AN1538" s="145"/>
      <c r="AO1538" s="145"/>
      <c r="AP1538" s="145"/>
      <c r="AQ1538" s="145"/>
    </row>
    <row r="1539" spans="37:43">
      <c r="AK1539" s="145"/>
      <c r="AL1539" s="145"/>
      <c r="AM1539" s="145"/>
      <c r="AN1539" s="145"/>
      <c r="AO1539" s="145"/>
      <c r="AP1539" s="145"/>
      <c r="AQ1539" s="145"/>
    </row>
    <row r="1540" spans="37:43">
      <c r="AK1540" s="145"/>
      <c r="AL1540" s="145"/>
      <c r="AM1540" s="145"/>
      <c r="AN1540" s="145"/>
      <c r="AO1540" s="145"/>
      <c r="AP1540" s="145"/>
      <c r="AQ1540" s="145"/>
    </row>
    <row r="1541" spans="37:43">
      <c r="AK1541" s="145"/>
      <c r="AL1541" s="145"/>
      <c r="AM1541" s="145"/>
      <c r="AN1541" s="145"/>
      <c r="AO1541" s="145"/>
      <c r="AP1541" s="145"/>
      <c r="AQ1541" s="145"/>
    </row>
    <row r="1542" spans="37:43">
      <c r="AK1542" s="145"/>
      <c r="AL1542" s="145"/>
      <c r="AM1542" s="145"/>
      <c r="AN1542" s="145"/>
      <c r="AO1542" s="145"/>
      <c r="AP1542" s="145"/>
      <c r="AQ1542" s="145"/>
    </row>
    <row r="1543" spans="37:43">
      <c r="AK1543" s="145"/>
      <c r="AL1543" s="145"/>
      <c r="AM1543" s="145"/>
      <c r="AN1543" s="145"/>
      <c r="AO1543" s="145"/>
      <c r="AP1543" s="145"/>
      <c r="AQ1543" s="145"/>
    </row>
    <row r="1544" spans="37:43">
      <c r="AK1544" s="145"/>
      <c r="AL1544" s="145"/>
      <c r="AM1544" s="145"/>
      <c r="AN1544" s="145"/>
      <c r="AO1544" s="145"/>
      <c r="AP1544" s="145"/>
      <c r="AQ1544" s="145"/>
    </row>
    <row r="1545" spans="37:43">
      <c r="AK1545" s="145"/>
      <c r="AL1545" s="145"/>
      <c r="AM1545" s="145"/>
      <c r="AN1545" s="145"/>
      <c r="AO1545" s="145"/>
      <c r="AP1545" s="145"/>
      <c r="AQ1545" s="145"/>
    </row>
    <row r="1546" spans="37:43">
      <c r="AK1546" s="145"/>
      <c r="AL1546" s="145"/>
      <c r="AM1546" s="145"/>
      <c r="AN1546" s="145"/>
      <c r="AO1546" s="145"/>
      <c r="AP1546" s="145"/>
      <c r="AQ1546" s="145"/>
    </row>
    <row r="1547" spans="37:43">
      <c r="AK1547" s="145"/>
      <c r="AL1547" s="145"/>
      <c r="AM1547" s="145"/>
      <c r="AN1547" s="145"/>
      <c r="AO1547" s="145"/>
      <c r="AP1547" s="145"/>
      <c r="AQ1547" s="145"/>
    </row>
    <row r="1548" spans="37:43">
      <c r="AK1548" s="145"/>
      <c r="AL1548" s="145"/>
      <c r="AM1548" s="145"/>
      <c r="AN1548" s="145"/>
      <c r="AO1548" s="145"/>
      <c r="AP1548" s="145"/>
      <c r="AQ1548" s="145"/>
    </row>
    <row r="1549" spans="37:43">
      <c r="AK1549" s="145"/>
      <c r="AL1549" s="145"/>
      <c r="AM1549" s="145"/>
      <c r="AN1549" s="145"/>
      <c r="AO1549" s="145"/>
      <c r="AP1549" s="145"/>
      <c r="AQ1549" s="145"/>
    </row>
    <row r="1550" spans="37:43">
      <c r="AK1550" s="145"/>
      <c r="AL1550" s="145"/>
      <c r="AM1550" s="145"/>
      <c r="AN1550" s="145"/>
      <c r="AO1550" s="145"/>
      <c r="AP1550" s="145"/>
      <c r="AQ1550" s="145"/>
    </row>
    <row r="1551" spans="37:43">
      <c r="AK1551" s="145"/>
      <c r="AL1551" s="145"/>
      <c r="AM1551" s="145"/>
      <c r="AN1551" s="145"/>
      <c r="AO1551" s="145"/>
      <c r="AP1551" s="145"/>
      <c r="AQ1551" s="145"/>
    </row>
    <row r="1552" spans="37:43">
      <c r="AK1552" s="145"/>
      <c r="AL1552" s="145"/>
      <c r="AM1552" s="145"/>
      <c r="AN1552" s="145"/>
      <c r="AO1552" s="145"/>
      <c r="AP1552" s="145"/>
      <c r="AQ1552" s="145"/>
    </row>
    <row r="1553" spans="37:43">
      <c r="AK1553" s="145"/>
      <c r="AL1553" s="145"/>
      <c r="AM1553" s="145"/>
      <c r="AN1553" s="145"/>
      <c r="AO1553" s="145"/>
      <c r="AP1553" s="145"/>
      <c r="AQ1553" s="145"/>
    </row>
    <row r="1554" spans="37:43">
      <c r="AK1554" s="145"/>
      <c r="AL1554" s="145"/>
      <c r="AM1554" s="145"/>
      <c r="AN1554" s="145"/>
      <c r="AO1554" s="145"/>
      <c r="AP1554" s="145"/>
      <c r="AQ1554" s="145"/>
    </row>
    <row r="1555" spans="37:43">
      <c r="AK1555" s="145"/>
      <c r="AL1555" s="145"/>
      <c r="AM1555" s="145"/>
      <c r="AN1555" s="145"/>
      <c r="AO1555" s="145"/>
      <c r="AP1555" s="145"/>
      <c r="AQ1555" s="145"/>
    </row>
    <row r="1556" spans="37:43">
      <c r="AK1556" s="145"/>
      <c r="AL1556" s="145"/>
      <c r="AM1556" s="145"/>
      <c r="AN1556" s="145"/>
      <c r="AO1556" s="145"/>
      <c r="AP1556" s="145"/>
      <c r="AQ1556" s="145"/>
    </row>
    <row r="1557" spans="37:43">
      <c r="AK1557" s="145"/>
      <c r="AL1557" s="145"/>
      <c r="AM1557" s="145"/>
      <c r="AN1557" s="145"/>
      <c r="AO1557" s="145"/>
      <c r="AP1557" s="145"/>
      <c r="AQ1557" s="145"/>
    </row>
    <row r="1558" spans="37:43">
      <c r="AK1558" s="145"/>
      <c r="AL1558" s="145"/>
      <c r="AM1558" s="145"/>
      <c r="AN1558" s="145"/>
      <c r="AO1558" s="145"/>
      <c r="AP1558" s="145"/>
      <c r="AQ1558" s="145"/>
    </row>
    <row r="1559" spans="37:43">
      <c r="AK1559" s="145"/>
      <c r="AL1559" s="145"/>
      <c r="AM1559" s="145"/>
      <c r="AN1559" s="145"/>
      <c r="AO1559" s="145"/>
      <c r="AP1559" s="145"/>
      <c r="AQ1559" s="145"/>
    </row>
    <row r="1560" spans="37:43">
      <c r="AK1560" s="145"/>
      <c r="AL1560" s="145"/>
      <c r="AM1560" s="145"/>
      <c r="AN1560" s="145"/>
      <c r="AO1560" s="145"/>
      <c r="AP1560" s="145"/>
      <c r="AQ1560" s="145"/>
    </row>
    <row r="1561" spans="37:43">
      <c r="AK1561" s="145"/>
      <c r="AL1561" s="145"/>
      <c r="AM1561" s="145"/>
      <c r="AN1561" s="145"/>
      <c r="AO1561" s="145"/>
      <c r="AP1561" s="145"/>
      <c r="AQ1561" s="145"/>
    </row>
    <row r="1562" spans="37:43">
      <c r="AK1562" s="145"/>
      <c r="AL1562" s="145"/>
      <c r="AM1562" s="145"/>
      <c r="AN1562" s="145"/>
      <c r="AO1562" s="145"/>
      <c r="AP1562" s="145"/>
      <c r="AQ1562" s="145"/>
    </row>
    <row r="1563" spans="37:43">
      <c r="AK1563" s="145"/>
      <c r="AL1563" s="145"/>
      <c r="AM1563" s="145"/>
      <c r="AN1563" s="145"/>
      <c r="AO1563" s="145"/>
      <c r="AP1563" s="145"/>
      <c r="AQ1563" s="145"/>
    </row>
    <row r="1564" spans="37:43">
      <c r="AK1564" s="145"/>
      <c r="AL1564" s="145"/>
      <c r="AM1564" s="145"/>
      <c r="AN1564" s="145"/>
      <c r="AO1564" s="145"/>
      <c r="AP1564" s="145"/>
      <c r="AQ1564" s="145"/>
    </row>
    <row r="1565" spans="37:43">
      <c r="AK1565" s="145"/>
      <c r="AL1565" s="145"/>
      <c r="AM1565" s="145"/>
      <c r="AN1565" s="145"/>
      <c r="AO1565" s="145"/>
      <c r="AP1565" s="145"/>
      <c r="AQ1565" s="145"/>
    </row>
    <row r="1566" spans="37:43">
      <c r="AK1566" s="145"/>
      <c r="AL1566" s="145"/>
      <c r="AM1566" s="145"/>
      <c r="AN1566" s="145"/>
      <c r="AO1566" s="145"/>
      <c r="AP1566" s="145"/>
      <c r="AQ1566" s="145"/>
    </row>
    <row r="1567" spans="37:43">
      <c r="AK1567" s="145"/>
      <c r="AL1567" s="145"/>
      <c r="AM1567" s="145"/>
      <c r="AN1567" s="145"/>
      <c r="AO1567" s="145"/>
      <c r="AP1567" s="145"/>
      <c r="AQ1567" s="145"/>
    </row>
    <row r="1568" spans="37:43">
      <c r="AK1568" s="145"/>
      <c r="AL1568" s="145"/>
      <c r="AM1568" s="145"/>
      <c r="AN1568" s="145"/>
      <c r="AO1568" s="145"/>
      <c r="AP1568" s="145"/>
      <c r="AQ1568" s="145"/>
    </row>
    <row r="1569" spans="37:43">
      <c r="AK1569" s="145"/>
      <c r="AL1569" s="145"/>
      <c r="AM1569" s="145"/>
      <c r="AN1569" s="145"/>
      <c r="AO1569" s="145"/>
      <c r="AP1569" s="145"/>
      <c r="AQ1569" s="145"/>
    </row>
    <row r="1570" spans="37:43">
      <c r="AK1570" s="145"/>
      <c r="AL1570" s="145"/>
      <c r="AM1570" s="145"/>
      <c r="AN1570" s="145"/>
      <c r="AO1570" s="145"/>
      <c r="AP1570" s="145"/>
      <c r="AQ1570" s="145"/>
    </row>
    <row r="1571" spans="37:43">
      <c r="AK1571" s="145"/>
      <c r="AL1571" s="145"/>
      <c r="AM1571" s="145"/>
      <c r="AN1571" s="145"/>
      <c r="AO1571" s="145"/>
      <c r="AP1571" s="145"/>
      <c r="AQ1571" s="145"/>
    </row>
    <row r="1572" spans="37:43">
      <c r="AK1572" s="145"/>
      <c r="AL1572" s="145"/>
      <c r="AM1572" s="145"/>
      <c r="AN1572" s="145"/>
      <c r="AO1572" s="145"/>
      <c r="AP1572" s="145"/>
      <c r="AQ1572" s="145"/>
    </row>
    <row r="1573" spans="37:43">
      <c r="AK1573" s="145"/>
      <c r="AL1573" s="145"/>
      <c r="AM1573" s="145"/>
      <c r="AN1573" s="145"/>
      <c r="AO1573" s="145"/>
      <c r="AP1573" s="145"/>
      <c r="AQ1573" s="145"/>
    </row>
    <row r="1574" spans="37:43">
      <c r="AK1574" s="145"/>
      <c r="AL1574" s="145"/>
      <c r="AM1574" s="145"/>
      <c r="AN1574" s="145"/>
      <c r="AO1574" s="145"/>
      <c r="AP1574" s="145"/>
      <c r="AQ1574" s="145"/>
    </row>
    <row r="1575" spans="37:43">
      <c r="AK1575" s="145"/>
      <c r="AL1575" s="145"/>
      <c r="AM1575" s="145"/>
      <c r="AN1575" s="145"/>
      <c r="AO1575" s="145"/>
      <c r="AP1575" s="145"/>
      <c r="AQ1575" s="145"/>
    </row>
    <row r="1576" spans="37:43">
      <c r="AK1576" s="145"/>
      <c r="AL1576" s="145"/>
      <c r="AM1576" s="145"/>
      <c r="AN1576" s="145"/>
      <c r="AO1576" s="145"/>
      <c r="AP1576" s="145"/>
      <c r="AQ1576" s="145"/>
    </row>
    <row r="1577" spans="37:43">
      <c r="AK1577" s="145"/>
      <c r="AL1577" s="145"/>
      <c r="AM1577" s="145"/>
      <c r="AN1577" s="145"/>
      <c r="AO1577" s="145"/>
      <c r="AP1577" s="145"/>
      <c r="AQ1577" s="145"/>
    </row>
    <row r="1578" spans="37:43">
      <c r="AK1578" s="145"/>
      <c r="AL1578" s="145"/>
      <c r="AM1578" s="145"/>
      <c r="AN1578" s="145"/>
      <c r="AO1578" s="145"/>
      <c r="AP1578" s="145"/>
      <c r="AQ1578" s="145"/>
    </row>
    <row r="1579" spans="37:43">
      <c r="AK1579" s="145"/>
      <c r="AL1579" s="145"/>
      <c r="AM1579" s="145"/>
      <c r="AN1579" s="145"/>
      <c r="AO1579" s="145"/>
      <c r="AP1579" s="145"/>
      <c r="AQ1579" s="145"/>
    </row>
    <row r="1580" spans="37:43">
      <c r="AK1580" s="145"/>
      <c r="AL1580" s="145"/>
      <c r="AM1580" s="145"/>
      <c r="AN1580" s="145"/>
      <c r="AO1580" s="145"/>
      <c r="AP1580" s="145"/>
      <c r="AQ1580" s="145"/>
    </row>
    <row r="1581" spans="37:43">
      <c r="AK1581" s="145"/>
      <c r="AL1581" s="145"/>
      <c r="AM1581" s="145"/>
      <c r="AN1581" s="145"/>
      <c r="AO1581" s="145"/>
      <c r="AP1581" s="145"/>
      <c r="AQ1581" s="145"/>
    </row>
    <row r="1582" spans="37:43">
      <c r="AK1582" s="145"/>
      <c r="AL1582" s="145"/>
      <c r="AM1582" s="145"/>
      <c r="AN1582" s="145"/>
      <c r="AO1582" s="145"/>
      <c r="AP1582" s="145"/>
      <c r="AQ1582" s="145"/>
    </row>
    <row r="1583" spans="37:43">
      <c r="AK1583" s="145"/>
      <c r="AL1583" s="145"/>
      <c r="AM1583" s="145"/>
      <c r="AN1583" s="145"/>
      <c r="AO1583" s="145"/>
      <c r="AP1583" s="145"/>
      <c r="AQ1583" s="145"/>
    </row>
    <row r="1584" spans="37:43">
      <c r="AK1584" s="145"/>
      <c r="AL1584" s="145"/>
      <c r="AM1584" s="145"/>
      <c r="AN1584" s="145"/>
      <c r="AO1584" s="145"/>
      <c r="AP1584" s="145"/>
      <c r="AQ1584" s="145"/>
    </row>
    <row r="1585" spans="37:43">
      <c r="AK1585" s="145"/>
      <c r="AL1585" s="145"/>
      <c r="AM1585" s="145"/>
      <c r="AN1585" s="145"/>
      <c r="AO1585" s="145"/>
      <c r="AP1585" s="145"/>
      <c r="AQ1585" s="145"/>
    </row>
    <row r="1586" spans="37:43">
      <c r="AK1586" s="145"/>
      <c r="AL1586" s="145"/>
      <c r="AM1586" s="145"/>
      <c r="AN1586" s="145"/>
      <c r="AO1586" s="145"/>
      <c r="AP1586" s="145"/>
      <c r="AQ1586" s="145"/>
    </row>
    <row r="1587" spans="37:43">
      <c r="AK1587" s="145"/>
      <c r="AL1587" s="145"/>
      <c r="AM1587" s="145"/>
      <c r="AN1587" s="145"/>
      <c r="AO1587" s="145"/>
      <c r="AP1587" s="145"/>
      <c r="AQ1587" s="145"/>
    </row>
    <row r="1588" spans="37:43">
      <c r="AK1588" s="145"/>
      <c r="AL1588" s="145"/>
      <c r="AM1588" s="145"/>
      <c r="AN1588" s="145"/>
      <c r="AO1588" s="145"/>
      <c r="AP1588" s="145"/>
      <c r="AQ1588" s="145"/>
    </row>
    <row r="1589" spans="37:43">
      <c r="AK1589" s="145"/>
      <c r="AL1589" s="145"/>
      <c r="AM1589" s="145"/>
      <c r="AN1589" s="145"/>
      <c r="AO1589" s="145"/>
      <c r="AP1589" s="145"/>
      <c r="AQ1589" s="145"/>
    </row>
    <row r="1590" spans="37:43">
      <c r="AK1590" s="145"/>
      <c r="AL1590" s="145"/>
      <c r="AM1590" s="145"/>
      <c r="AN1590" s="145"/>
      <c r="AO1590" s="145"/>
      <c r="AP1590" s="145"/>
      <c r="AQ1590" s="145"/>
    </row>
    <row r="1591" spans="37:43">
      <c r="AK1591" s="145"/>
      <c r="AL1591" s="145"/>
      <c r="AM1591" s="145"/>
      <c r="AN1591" s="145"/>
      <c r="AO1591" s="145"/>
      <c r="AP1591" s="145"/>
      <c r="AQ1591" s="145"/>
    </row>
    <row r="1592" spans="37:43">
      <c r="AK1592" s="145"/>
      <c r="AL1592" s="145"/>
      <c r="AM1592" s="145"/>
      <c r="AN1592" s="145"/>
      <c r="AO1592" s="145"/>
      <c r="AP1592" s="145"/>
      <c r="AQ1592" s="145"/>
    </row>
    <row r="1593" spans="37:43">
      <c r="AK1593" s="145"/>
      <c r="AL1593" s="145"/>
      <c r="AM1593" s="145"/>
      <c r="AN1593" s="145"/>
      <c r="AO1593" s="145"/>
      <c r="AP1593" s="145"/>
      <c r="AQ1593" s="145"/>
    </row>
    <row r="1594" spans="37:43">
      <c r="AK1594" s="145"/>
      <c r="AL1594" s="145"/>
      <c r="AM1594" s="145"/>
      <c r="AN1594" s="145"/>
      <c r="AO1594" s="145"/>
      <c r="AP1594" s="145"/>
      <c r="AQ1594" s="145"/>
    </row>
    <row r="1595" spans="37:43">
      <c r="AK1595" s="145"/>
      <c r="AL1595" s="145"/>
      <c r="AM1595" s="145"/>
      <c r="AN1595" s="145"/>
      <c r="AO1595" s="145"/>
      <c r="AP1595" s="145"/>
      <c r="AQ1595" s="145"/>
    </row>
    <row r="1596" spans="37:43">
      <c r="AK1596" s="145"/>
      <c r="AL1596" s="145"/>
      <c r="AM1596" s="145"/>
      <c r="AN1596" s="145"/>
      <c r="AO1596" s="145"/>
      <c r="AP1596" s="145"/>
      <c r="AQ1596" s="145"/>
    </row>
    <row r="1597" spans="37:43">
      <c r="AK1597" s="145"/>
      <c r="AL1597" s="145"/>
      <c r="AM1597" s="145"/>
      <c r="AN1597" s="145"/>
      <c r="AO1597" s="145"/>
      <c r="AP1597" s="145"/>
      <c r="AQ1597" s="145"/>
    </row>
    <row r="1598" spans="37:43">
      <c r="AK1598" s="145"/>
      <c r="AL1598" s="145"/>
      <c r="AM1598" s="145"/>
      <c r="AN1598" s="145"/>
      <c r="AO1598" s="145"/>
      <c r="AP1598" s="145"/>
      <c r="AQ1598" s="145"/>
    </row>
    <row r="1599" spans="37:43">
      <c r="AK1599" s="145"/>
      <c r="AL1599" s="145"/>
      <c r="AM1599" s="145"/>
      <c r="AN1599" s="145"/>
      <c r="AO1599" s="145"/>
      <c r="AP1599" s="145"/>
      <c r="AQ1599" s="145"/>
    </row>
    <row r="1600" spans="37:43">
      <c r="AK1600" s="145"/>
      <c r="AL1600" s="145"/>
      <c r="AM1600" s="145"/>
      <c r="AN1600" s="145"/>
      <c r="AO1600" s="145"/>
      <c r="AP1600" s="145"/>
      <c r="AQ1600" s="145"/>
    </row>
    <row r="1601" spans="37:43">
      <c r="AK1601" s="145"/>
      <c r="AL1601" s="145"/>
      <c r="AM1601" s="145"/>
      <c r="AN1601" s="145"/>
      <c r="AO1601" s="145"/>
      <c r="AP1601" s="145"/>
      <c r="AQ1601" s="145"/>
    </row>
    <row r="1602" spans="37:43">
      <c r="AK1602" s="145"/>
      <c r="AL1602" s="145"/>
      <c r="AM1602" s="145"/>
      <c r="AN1602" s="145"/>
      <c r="AO1602" s="145"/>
      <c r="AP1602" s="145"/>
      <c r="AQ1602" s="145"/>
    </row>
    <row r="1603" spans="37:43">
      <c r="AK1603" s="145"/>
      <c r="AL1603" s="145"/>
      <c r="AM1603" s="145"/>
      <c r="AN1603" s="145"/>
      <c r="AO1603" s="145"/>
      <c r="AP1603" s="145"/>
      <c r="AQ1603" s="145"/>
    </row>
    <row r="1604" spans="37:43">
      <c r="AK1604" s="145"/>
      <c r="AL1604" s="145"/>
      <c r="AM1604" s="145"/>
      <c r="AN1604" s="145"/>
      <c r="AO1604" s="145"/>
      <c r="AP1604" s="145"/>
      <c r="AQ1604" s="145"/>
    </row>
    <row r="1605" spans="37:43">
      <c r="AK1605" s="145"/>
      <c r="AL1605" s="145"/>
      <c r="AM1605" s="145"/>
      <c r="AN1605" s="145"/>
      <c r="AO1605" s="145"/>
      <c r="AP1605" s="145"/>
      <c r="AQ1605" s="145"/>
    </row>
    <row r="1606" spans="37:43">
      <c r="AK1606" s="145"/>
      <c r="AL1606" s="145"/>
      <c r="AM1606" s="145"/>
      <c r="AN1606" s="145"/>
      <c r="AO1606" s="145"/>
      <c r="AP1606" s="145"/>
      <c r="AQ1606" s="145"/>
    </row>
    <row r="1607" spans="37:43">
      <c r="AK1607" s="145"/>
      <c r="AL1607" s="145"/>
      <c r="AM1607" s="145"/>
      <c r="AN1607" s="145"/>
      <c r="AO1607" s="145"/>
      <c r="AP1607" s="145"/>
      <c r="AQ1607" s="145"/>
    </row>
    <row r="1608" spans="37:43">
      <c r="AK1608" s="145"/>
      <c r="AL1608" s="145"/>
      <c r="AM1608" s="145"/>
      <c r="AN1608" s="145"/>
      <c r="AO1608" s="145"/>
      <c r="AP1608" s="145"/>
      <c r="AQ1608" s="145"/>
    </row>
    <row r="1609" spans="37:43">
      <c r="AK1609" s="145"/>
      <c r="AL1609" s="145"/>
      <c r="AM1609" s="145"/>
      <c r="AN1609" s="145"/>
      <c r="AO1609" s="145"/>
      <c r="AP1609" s="145"/>
      <c r="AQ1609" s="145"/>
    </row>
    <row r="1610" spans="37:43">
      <c r="AK1610" s="145"/>
      <c r="AL1610" s="145"/>
      <c r="AM1610" s="145"/>
      <c r="AN1610" s="145"/>
      <c r="AO1610" s="145"/>
      <c r="AP1610" s="145"/>
      <c r="AQ1610" s="145"/>
    </row>
    <row r="1611" spans="37:43">
      <c r="AK1611" s="145"/>
      <c r="AL1611" s="145"/>
      <c r="AM1611" s="145"/>
      <c r="AN1611" s="145"/>
      <c r="AO1611" s="145"/>
      <c r="AP1611" s="145"/>
      <c r="AQ1611" s="145"/>
    </row>
    <row r="1612" spans="37:43">
      <c r="AK1612" s="145"/>
      <c r="AL1612" s="145"/>
      <c r="AM1612" s="145"/>
      <c r="AN1612" s="145"/>
      <c r="AO1612" s="145"/>
      <c r="AP1612" s="145"/>
      <c r="AQ1612" s="145"/>
    </row>
    <row r="1613" spans="37:43">
      <c r="AK1613" s="145"/>
      <c r="AL1613" s="145"/>
      <c r="AM1613" s="145"/>
      <c r="AN1613" s="145"/>
      <c r="AO1613" s="145"/>
      <c r="AP1613" s="145"/>
      <c r="AQ1613" s="145"/>
    </row>
    <row r="1614" spans="37:43">
      <c r="AK1614" s="145"/>
      <c r="AL1614" s="145"/>
      <c r="AM1614" s="145"/>
      <c r="AN1614" s="145"/>
      <c r="AO1614" s="145"/>
      <c r="AP1614" s="145"/>
      <c r="AQ1614" s="145"/>
    </row>
    <row r="1615" spans="37:43">
      <c r="AK1615" s="145"/>
      <c r="AL1615" s="145"/>
      <c r="AM1615" s="145"/>
      <c r="AN1615" s="145"/>
      <c r="AO1615" s="145"/>
      <c r="AP1615" s="145"/>
      <c r="AQ1615" s="145"/>
    </row>
    <row r="1616" spans="37:43">
      <c r="AK1616" s="145"/>
      <c r="AL1616" s="145"/>
      <c r="AM1616" s="145"/>
      <c r="AN1616" s="145"/>
      <c r="AO1616" s="145"/>
      <c r="AP1616" s="145"/>
      <c r="AQ1616" s="145"/>
    </row>
    <row r="1617" spans="37:43">
      <c r="AK1617" s="145"/>
      <c r="AL1617" s="145"/>
      <c r="AM1617" s="145"/>
      <c r="AN1617" s="145"/>
      <c r="AO1617" s="145"/>
      <c r="AP1617" s="145"/>
      <c r="AQ1617" s="145"/>
    </row>
    <row r="1618" spans="37:43">
      <c r="AK1618" s="145"/>
      <c r="AL1618" s="145"/>
      <c r="AM1618" s="145"/>
      <c r="AN1618" s="145"/>
      <c r="AO1618" s="145"/>
      <c r="AP1618" s="145"/>
      <c r="AQ1618" s="145"/>
    </row>
    <row r="1619" spans="37:43">
      <c r="AK1619" s="145"/>
      <c r="AL1619" s="145"/>
      <c r="AM1619" s="145"/>
      <c r="AN1619" s="145"/>
      <c r="AO1619" s="145"/>
      <c r="AP1619" s="145"/>
      <c r="AQ1619" s="145"/>
    </row>
    <row r="1620" spans="37:43">
      <c r="AK1620" s="145"/>
      <c r="AL1620" s="145"/>
      <c r="AM1620" s="145"/>
      <c r="AN1620" s="145"/>
      <c r="AO1620" s="145"/>
      <c r="AP1620" s="145"/>
      <c r="AQ1620" s="145"/>
    </row>
    <row r="1621" spans="37:43">
      <c r="AK1621" s="145"/>
      <c r="AL1621" s="145"/>
      <c r="AM1621" s="145"/>
      <c r="AN1621" s="145"/>
      <c r="AO1621" s="145"/>
      <c r="AP1621" s="145"/>
      <c r="AQ1621" s="145"/>
    </row>
    <row r="1622" spans="37:43">
      <c r="AK1622" s="145"/>
      <c r="AL1622" s="145"/>
      <c r="AM1622" s="145"/>
      <c r="AN1622" s="145"/>
      <c r="AO1622" s="145"/>
      <c r="AP1622" s="145"/>
      <c r="AQ1622" s="145"/>
    </row>
    <row r="1623" spans="37:43">
      <c r="AK1623" s="145"/>
      <c r="AL1623" s="145"/>
      <c r="AM1623" s="145"/>
      <c r="AN1623" s="145"/>
      <c r="AO1623" s="145"/>
      <c r="AP1623" s="145"/>
      <c r="AQ1623" s="145"/>
    </row>
    <row r="1624" spans="37:43">
      <c r="AK1624" s="145"/>
      <c r="AL1624" s="145"/>
      <c r="AM1624" s="145"/>
      <c r="AN1624" s="145"/>
      <c r="AO1624" s="145"/>
      <c r="AP1624" s="145"/>
      <c r="AQ1624" s="145"/>
    </row>
    <row r="1625" spans="37:43">
      <c r="AK1625" s="145"/>
      <c r="AL1625" s="145"/>
      <c r="AM1625" s="145"/>
      <c r="AN1625" s="145"/>
      <c r="AO1625" s="145"/>
      <c r="AP1625" s="145"/>
      <c r="AQ1625" s="145"/>
    </row>
    <row r="1626" spans="37:43">
      <c r="AK1626" s="145"/>
      <c r="AL1626" s="145"/>
      <c r="AM1626" s="145"/>
      <c r="AN1626" s="145"/>
      <c r="AO1626" s="145"/>
      <c r="AP1626" s="145"/>
      <c r="AQ1626" s="145"/>
    </row>
    <row r="1627" spans="37:43">
      <c r="AK1627" s="145"/>
      <c r="AL1627" s="145"/>
      <c r="AM1627" s="145"/>
      <c r="AN1627" s="145"/>
      <c r="AO1627" s="145"/>
      <c r="AP1627" s="145"/>
      <c r="AQ1627" s="145"/>
    </row>
    <row r="1628" spans="37:43">
      <c r="AK1628" s="145"/>
      <c r="AL1628" s="145"/>
      <c r="AM1628" s="145"/>
      <c r="AN1628" s="145"/>
      <c r="AO1628" s="145"/>
      <c r="AP1628" s="145"/>
      <c r="AQ1628" s="145"/>
    </row>
    <row r="1629" spans="37:43">
      <c r="AK1629" s="145"/>
      <c r="AL1629" s="145"/>
      <c r="AM1629" s="145"/>
      <c r="AN1629" s="145"/>
      <c r="AO1629" s="145"/>
      <c r="AP1629" s="145"/>
      <c r="AQ1629" s="145"/>
    </row>
    <row r="1630" spans="37:43">
      <c r="AK1630" s="145"/>
      <c r="AL1630" s="145"/>
      <c r="AM1630" s="145"/>
      <c r="AN1630" s="145"/>
      <c r="AO1630" s="145"/>
      <c r="AP1630" s="145"/>
      <c r="AQ1630" s="145"/>
    </row>
    <row r="1631" spans="37:43">
      <c r="AK1631" s="145"/>
      <c r="AL1631" s="145"/>
      <c r="AM1631" s="145"/>
      <c r="AN1631" s="145"/>
      <c r="AO1631" s="145"/>
      <c r="AP1631" s="145"/>
      <c r="AQ1631" s="145"/>
    </row>
    <row r="1632" spans="37:43">
      <c r="AK1632" s="145"/>
      <c r="AL1632" s="145"/>
      <c r="AM1632" s="145"/>
      <c r="AN1632" s="145"/>
      <c r="AO1632" s="145"/>
      <c r="AP1632" s="145"/>
      <c r="AQ1632" s="145"/>
    </row>
    <row r="1633" spans="37:43">
      <c r="AK1633" s="145"/>
      <c r="AL1633" s="145"/>
      <c r="AM1633" s="145"/>
      <c r="AN1633" s="145"/>
      <c r="AO1633" s="145"/>
      <c r="AP1633" s="145"/>
      <c r="AQ1633" s="145"/>
    </row>
    <row r="1634" spans="37:43">
      <c r="AK1634" s="145"/>
      <c r="AL1634" s="145"/>
      <c r="AM1634" s="145"/>
      <c r="AN1634" s="145"/>
      <c r="AO1634" s="145"/>
      <c r="AP1634" s="145"/>
      <c r="AQ1634" s="145"/>
    </row>
    <row r="1635" spans="37:43">
      <c r="AK1635" s="145"/>
      <c r="AL1635" s="145"/>
      <c r="AM1635" s="145"/>
      <c r="AN1635" s="145"/>
      <c r="AO1635" s="145"/>
      <c r="AP1635" s="145"/>
      <c r="AQ1635" s="145"/>
    </row>
    <row r="1636" spans="37:43">
      <c r="AK1636" s="145"/>
      <c r="AL1636" s="145"/>
      <c r="AM1636" s="145"/>
      <c r="AN1636" s="145"/>
      <c r="AO1636" s="145"/>
      <c r="AP1636" s="145"/>
      <c r="AQ1636" s="145"/>
    </row>
    <row r="1637" spans="37:43">
      <c r="AK1637" s="145"/>
      <c r="AL1637" s="145"/>
      <c r="AM1637" s="145"/>
      <c r="AN1637" s="145"/>
      <c r="AO1637" s="145"/>
      <c r="AP1637" s="145"/>
      <c r="AQ1637" s="145"/>
    </row>
    <row r="1638" spans="37:43">
      <c r="AK1638" s="145"/>
      <c r="AL1638" s="145"/>
      <c r="AM1638" s="145"/>
      <c r="AN1638" s="145"/>
      <c r="AO1638" s="145"/>
      <c r="AP1638" s="145"/>
      <c r="AQ1638" s="145"/>
    </row>
    <row r="1639" spans="37:43">
      <c r="AK1639" s="145"/>
      <c r="AL1639" s="145"/>
      <c r="AM1639" s="145"/>
      <c r="AN1639" s="145"/>
      <c r="AO1639" s="145"/>
      <c r="AP1639" s="145"/>
      <c r="AQ1639" s="145"/>
    </row>
    <row r="1640" spans="37:43">
      <c r="AK1640" s="145"/>
      <c r="AL1640" s="145"/>
      <c r="AM1640" s="145"/>
      <c r="AN1640" s="145"/>
      <c r="AO1640" s="145"/>
      <c r="AP1640" s="145"/>
      <c r="AQ1640" s="145"/>
    </row>
    <row r="1641" spans="37:43">
      <c r="AK1641" s="145"/>
      <c r="AL1641" s="145"/>
      <c r="AM1641" s="145"/>
      <c r="AN1641" s="145"/>
      <c r="AO1641" s="145"/>
      <c r="AP1641" s="145"/>
      <c r="AQ1641" s="145"/>
    </row>
    <row r="1642" spans="37:43">
      <c r="AK1642" s="145"/>
      <c r="AL1642" s="145"/>
      <c r="AM1642" s="145"/>
      <c r="AN1642" s="145"/>
      <c r="AO1642" s="145"/>
      <c r="AP1642" s="145"/>
      <c r="AQ1642" s="145"/>
    </row>
    <row r="1643" spans="37:43">
      <c r="AK1643" s="145"/>
      <c r="AL1643" s="145"/>
      <c r="AM1643" s="145"/>
      <c r="AN1643" s="145"/>
      <c r="AO1643" s="145"/>
      <c r="AP1643" s="145"/>
      <c r="AQ1643" s="145"/>
    </row>
    <row r="1644" spans="37:43">
      <c r="AK1644" s="145"/>
      <c r="AL1644" s="145"/>
      <c r="AM1644" s="145"/>
      <c r="AN1644" s="145"/>
      <c r="AO1644" s="145"/>
      <c r="AP1644" s="145"/>
      <c r="AQ1644" s="145"/>
    </row>
    <row r="1645" spans="37:43">
      <c r="AK1645" s="145"/>
      <c r="AL1645" s="145"/>
      <c r="AM1645" s="145"/>
      <c r="AN1645" s="145"/>
      <c r="AO1645" s="145"/>
      <c r="AP1645" s="145"/>
      <c r="AQ1645" s="145"/>
    </row>
    <row r="1646" spans="37:43">
      <c r="AK1646" s="145"/>
      <c r="AL1646" s="145"/>
      <c r="AM1646" s="145"/>
      <c r="AN1646" s="145"/>
      <c r="AO1646" s="145"/>
      <c r="AP1646" s="145"/>
      <c r="AQ1646" s="145"/>
    </row>
    <row r="1647" spans="37:43">
      <c r="AK1647" s="145"/>
      <c r="AL1647" s="145"/>
      <c r="AM1647" s="145"/>
      <c r="AN1647" s="145"/>
      <c r="AO1647" s="145"/>
      <c r="AP1647" s="145"/>
      <c r="AQ1647" s="145"/>
    </row>
    <row r="1648" spans="37:43">
      <c r="AK1648" s="145"/>
      <c r="AL1648" s="145"/>
      <c r="AM1648" s="145"/>
      <c r="AN1648" s="145"/>
      <c r="AO1648" s="145"/>
      <c r="AP1648" s="145"/>
      <c r="AQ1648" s="145"/>
    </row>
    <row r="1649" spans="37:43">
      <c r="AK1649" s="145"/>
      <c r="AL1649" s="145"/>
      <c r="AM1649" s="145"/>
      <c r="AN1649" s="145"/>
      <c r="AO1649" s="145"/>
      <c r="AP1649" s="145"/>
      <c r="AQ1649" s="145"/>
    </row>
    <row r="1650" spans="37:43">
      <c r="AK1650" s="145"/>
      <c r="AL1650" s="145"/>
      <c r="AM1650" s="145"/>
      <c r="AN1650" s="145"/>
      <c r="AO1650" s="145"/>
      <c r="AP1650" s="145"/>
      <c r="AQ1650" s="145"/>
    </row>
    <row r="1651" spans="37:43">
      <c r="AK1651" s="145"/>
      <c r="AL1651" s="145"/>
      <c r="AM1651" s="145"/>
      <c r="AN1651" s="145"/>
      <c r="AO1651" s="145"/>
      <c r="AP1651" s="145"/>
      <c r="AQ1651" s="145"/>
    </row>
    <row r="1652" spans="37:43">
      <c r="AK1652" s="145"/>
      <c r="AL1652" s="145"/>
      <c r="AM1652" s="145"/>
      <c r="AN1652" s="145"/>
      <c r="AO1652" s="145"/>
      <c r="AP1652" s="145"/>
      <c r="AQ1652" s="145"/>
    </row>
    <row r="1653" spans="37:43">
      <c r="AK1653" s="145"/>
      <c r="AL1653" s="145"/>
      <c r="AM1653" s="145"/>
      <c r="AN1653" s="145"/>
      <c r="AO1653" s="145"/>
      <c r="AP1653" s="145"/>
      <c r="AQ1653" s="145"/>
    </row>
    <row r="1654" spans="37:43">
      <c r="AK1654" s="145"/>
      <c r="AL1654" s="145"/>
      <c r="AM1654" s="145"/>
      <c r="AN1654" s="145"/>
      <c r="AO1654" s="145"/>
      <c r="AP1654" s="145"/>
      <c r="AQ1654" s="145"/>
    </row>
    <row r="1655" spans="37:43">
      <c r="AK1655" s="145"/>
      <c r="AL1655" s="145"/>
      <c r="AM1655" s="145"/>
      <c r="AN1655" s="145"/>
      <c r="AO1655" s="145"/>
      <c r="AP1655" s="145"/>
      <c r="AQ1655" s="145"/>
    </row>
    <row r="1656" spans="37:43">
      <c r="AK1656" s="145"/>
      <c r="AL1656" s="145"/>
      <c r="AM1656" s="145"/>
      <c r="AN1656" s="145"/>
      <c r="AO1656" s="145"/>
      <c r="AP1656" s="145"/>
      <c r="AQ1656" s="145"/>
    </row>
    <row r="1657" spans="37:43">
      <c r="AK1657" s="145"/>
      <c r="AL1657" s="145"/>
      <c r="AM1657" s="145"/>
      <c r="AN1657" s="145"/>
      <c r="AO1657" s="145"/>
      <c r="AP1657" s="145"/>
      <c r="AQ1657" s="145"/>
    </row>
    <row r="1658" spans="37:43">
      <c r="AK1658" s="145"/>
      <c r="AL1658" s="145"/>
      <c r="AM1658" s="145"/>
      <c r="AN1658" s="145"/>
      <c r="AO1658" s="145"/>
      <c r="AP1658" s="145"/>
      <c r="AQ1658" s="145"/>
    </row>
    <row r="1659" spans="37:43">
      <c r="AK1659" s="145"/>
      <c r="AL1659" s="145"/>
      <c r="AM1659" s="145"/>
      <c r="AN1659" s="145"/>
      <c r="AO1659" s="145"/>
      <c r="AP1659" s="145"/>
      <c r="AQ1659" s="145"/>
    </row>
    <row r="1660" spans="37:43">
      <c r="AK1660" s="145"/>
      <c r="AL1660" s="145"/>
      <c r="AM1660" s="145"/>
      <c r="AN1660" s="145"/>
      <c r="AO1660" s="145"/>
      <c r="AP1660" s="145"/>
      <c r="AQ1660" s="145"/>
    </row>
    <row r="1661" spans="37:43">
      <c r="AK1661" s="145"/>
      <c r="AL1661" s="145"/>
      <c r="AM1661" s="145"/>
      <c r="AN1661" s="145"/>
      <c r="AO1661" s="145"/>
      <c r="AP1661" s="145"/>
      <c r="AQ1661" s="145"/>
    </row>
    <row r="1662" spans="37:43">
      <c r="AK1662" s="145"/>
      <c r="AL1662" s="145"/>
      <c r="AM1662" s="145"/>
      <c r="AN1662" s="145"/>
      <c r="AO1662" s="145"/>
      <c r="AP1662" s="145"/>
      <c r="AQ1662" s="145"/>
    </row>
    <row r="1663" spans="37:43">
      <c r="AK1663" s="145"/>
      <c r="AL1663" s="145"/>
      <c r="AM1663" s="145"/>
      <c r="AN1663" s="145"/>
      <c r="AO1663" s="145"/>
      <c r="AP1663" s="145"/>
      <c r="AQ1663" s="145"/>
    </row>
    <row r="1664" spans="37:43">
      <c r="AK1664" s="145"/>
      <c r="AL1664" s="145"/>
      <c r="AM1664" s="145"/>
      <c r="AN1664" s="145"/>
      <c r="AO1664" s="145"/>
      <c r="AP1664" s="145"/>
      <c r="AQ1664" s="145"/>
    </row>
    <row r="1665" spans="37:43">
      <c r="AK1665" s="145"/>
      <c r="AL1665" s="145"/>
      <c r="AM1665" s="145"/>
      <c r="AN1665" s="145"/>
      <c r="AO1665" s="145"/>
      <c r="AP1665" s="145"/>
      <c r="AQ1665" s="145"/>
    </row>
    <row r="1666" spans="37:43">
      <c r="AK1666" s="145"/>
      <c r="AL1666" s="145"/>
      <c r="AM1666" s="145"/>
      <c r="AN1666" s="145"/>
      <c r="AO1666" s="145"/>
      <c r="AP1666" s="145"/>
      <c r="AQ1666" s="145"/>
    </row>
    <row r="1667" spans="37:43">
      <c r="AK1667" s="145"/>
      <c r="AL1667" s="145"/>
      <c r="AM1667" s="145"/>
      <c r="AN1667" s="145"/>
      <c r="AO1667" s="145"/>
      <c r="AP1667" s="145"/>
      <c r="AQ1667" s="145"/>
    </row>
    <row r="1668" spans="37:43">
      <c r="AK1668" s="145"/>
      <c r="AL1668" s="145"/>
      <c r="AM1668" s="145"/>
      <c r="AN1668" s="145"/>
      <c r="AO1668" s="145"/>
      <c r="AP1668" s="145"/>
      <c r="AQ1668" s="145"/>
    </row>
    <row r="1669" spans="37:43">
      <c r="AK1669" s="145"/>
      <c r="AL1669" s="145"/>
      <c r="AM1669" s="145"/>
      <c r="AN1669" s="145"/>
      <c r="AO1669" s="145"/>
      <c r="AP1669" s="145"/>
      <c r="AQ1669" s="145"/>
    </row>
    <row r="1670" spans="37:43">
      <c r="AK1670" s="145"/>
      <c r="AL1670" s="145"/>
      <c r="AM1670" s="145"/>
      <c r="AN1670" s="145"/>
      <c r="AO1670" s="145"/>
      <c r="AP1670" s="145"/>
      <c r="AQ1670" s="145"/>
    </row>
    <row r="1671" spans="37:43">
      <c r="AK1671" s="145"/>
      <c r="AL1671" s="145"/>
      <c r="AM1671" s="145"/>
      <c r="AN1671" s="145"/>
      <c r="AO1671" s="145"/>
      <c r="AP1671" s="145"/>
      <c r="AQ1671" s="145"/>
    </row>
    <row r="1672" spans="37:43">
      <c r="AK1672" s="145"/>
      <c r="AL1672" s="145"/>
      <c r="AM1672" s="145"/>
      <c r="AN1672" s="145"/>
      <c r="AO1672" s="145"/>
      <c r="AP1672" s="145"/>
      <c r="AQ1672" s="145"/>
    </row>
    <row r="1673" spans="37:43">
      <c r="AK1673" s="145"/>
      <c r="AL1673" s="145"/>
      <c r="AM1673" s="145"/>
      <c r="AN1673" s="145"/>
      <c r="AO1673" s="145"/>
      <c r="AP1673" s="145"/>
      <c r="AQ1673" s="145"/>
    </row>
    <row r="1674" spans="37:43">
      <c r="AK1674" s="145"/>
      <c r="AL1674" s="145"/>
      <c r="AM1674" s="145"/>
      <c r="AN1674" s="145"/>
      <c r="AO1674" s="145"/>
      <c r="AP1674" s="145"/>
      <c r="AQ1674" s="145"/>
    </row>
    <row r="1675" spans="37:43">
      <c r="AK1675" s="145"/>
      <c r="AL1675" s="145"/>
      <c r="AM1675" s="145"/>
      <c r="AN1675" s="145"/>
      <c r="AO1675" s="145"/>
      <c r="AP1675" s="145"/>
      <c r="AQ1675" s="145"/>
    </row>
    <row r="1676" spans="37:43">
      <c r="AK1676" s="145"/>
      <c r="AL1676" s="145"/>
      <c r="AM1676" s="145"/>
      <c r="AN1676" s="145"/>
      <c r="AO1676" s="145"/>
      <c r="AP1676" s="145"/>
      <c r="AQ1676" s="145"/>
    </row>
    <row r="1677" spans="37:43">
      <c r="AK1677" s="145"/>
      <c r="AL1677" s="145"/>
      <c r="AM1677" s="145"/>
      <c r="AN1677" s="145"/>
      <c r="AO1677" s="145"/>
      <c r="AP1677" s="145"/>
      <c r="AQ1677" s="145"/>
    </row>
    <row r="1678" spans="37:43">
      <c r="AK1678" s="145"/>
      <c r="AL1678" s="145"/>
      <c r="AM1678" s="145"/>
      <c r="AN1678" s="145"/>
      <c r="AO1678" s="145"/>
      <c r="AP1678" s="145"/>
      <c r="AQ1678" s="145"/>
    </row>
    <row r="1679" spans="37:43">
      <c r="AK1679" s="145"/>
      <c r="AL1679" s="145"/>
      <c r="AM1679" s="145"/>
      <c r="AN1679" s="145"/>
      <c r="AO1679" s="145"/>
      <c r="AP1679" s="145"/>
      <c r="AQ1679" s="145"/>
    </row>
    <row r="1680" spans="37:43">
      <c r="AK1680" s="145"/>
      <c r="AL1680" s="145"/>
      <c r="AM1680" s="145"/>
      <c r="AN1680" s="145"/>
      <c r="AO1680" s="145"/>
      <c r="AP1680" s="145"/>
      <c r="AQ1680" s="145"/>
    </row>
    <row r="1681" spans="37:43">
      <c r="AK1681" s="145"/>
      <c r="AL1681" s="145"/>
      <c r="AM1681" s="145"/>
      <c r="AN1681" s="145"/>
      <c r="AO1681" s="145"/>
      <c r="AP1681" s="145"/>
      <c r="AQ1681" s="145"/>
    </row>
    <row r="1682" spans="37:43">
      <c r="AK1682" s="145"/>
      <c r="AL1682" s="145"/>
      <c r="AM1682" s="145"/>
      <c r="AN1682" s="145"/>
      <c r="AO1682" s="145"/>
      <c r="AP1682" s="145"/>
      <c r="AQ1682" s="145"/>
    </row>
    <row r="1683" spans="37:43">
      <c r="AK1683" s="145"/>
      <c r="AL1683" s="145"/>
      <c r="AM1683" s="145"/>
      <c r="AN1683" s="145"/>
      <c r="AO1683" s="145"/>
      <c r="AP1683" s="145"/>
      <c r="AQ1683" s="145"/>
    </row>
    <row r="1684" spans="37:43">
      <c r="AK1684" s="145"/>
      <c r="AL1684" s="145"/>
      <c r="AM1684" s="145"/>
      <c r="AN1684" s="145"/>
      <c r="AO1684" s="145"/>
      <c r="AP1684" s="145"/>
      <c r="AQ1684" s="145"/>
    </row>
    <row r="1685" spans="37:43">
      <c r="AK1685" s="145"/>
      <c r="AL1685" s="145"/>
      <c r="AM1685" s="145"/>
      <c r="AN1685" s="145"/>
      <c r="AO1685" s="145"/>
      <c r="AP1685" s="145"/>
      <c r="AQ1685" s="145"/>
    </row>
    <row r="1686" spans="37:43">
      <c r="AK1686" s="145"/>
      <c r="AL1686" s="145"/>
      <c r="AM1686" s="145"/>
      <c r="AN1686" s="145"/>
      <c r="AO1686" s="145"/>
      <c r="AP1686" s="145"/>
      <c r="AQ1686" s="145"/>
    </row>
    <row r="1687" spans="37:43">
      <c r="AK1687" s="145"/>
      <c r="AL1687" s="145"/>
      <c r="AM1687" s="145"/>
      <c r="AN1687" s="145"/>
      <c r="AO1687" s="145"/>
      <c r="AP1687" s="145"/>
      <c r="AQ1687" s="145"/>
    </row>
    <row r="1688" spans="37:43">
      <c r="AK1688" s="145"/>
      <c r="AL1688" s="145"/>
      <c r="AM1688" s="145"/>
      <c r="AN1688" s="145"/>
      <c r="AO1688" s="145"/>
      <c r="AP1688" s="145"/>
      <c r="AQ1688" s="145"/>
    </row>
    <row r="1689" spans="37:43">
      <c r="AK1689" s="145"/>
      <c r="AL1689" s="145"/>
      <c r="AM1689" s="145"/>
      <c r="AN1689" s="145"/>
      <c r="AO1689" s="145"/>
      <c r="AP1689" s="145"/>
      <c r="AQ1689" s="145"/>
    </row>
    <row r="1690" spans="37:43">
      <c r="AK1690" s="145"/>
      <c r="AL1690" s="145"/>
      <c r="AM1690" s="145"/>
      <c r="AN1690" s="145"/>
      <c r="AO1690" s="145"/>
      <c r="AP1690" s="145"/>
      <c r="AQ1690" s="145"/>
    </row>
    <row r="1691" spans="37:43">
      <c r="AK1691" s="145"/>
      <c r="AL1691" s="145"/>
      <c r="AM1691" s="145"/>
      <c r="AN1691" s="145"/>
      <c r="AO1691" s="145"/>
      <c r="AP1691" s="145"/>
      <c r="AQ1691" s="145"/>
    </row>
    <row r="1692" spans="37:43">
      <c r="AK1692" s="145"/>
      <c r="AL1692" s="145"/>
      <c r="AM1692" s="145"/>
      <c r="AN1692" s="145"/>
      <c r="AO1692" s="145"/>
      <c r="AP1692" s="145"/>
      <c r="AQ1692" s="145"/>
    </row>
    <row r="1693" spans="37:43">
      <c r="AK1693" s="145"/>
      <c r="AL1693" s="145"/>
      <c r="AM1693" s="145"/>
      <c r="AN1693" s="145"/>
      <c r="AO1693" s="145"/>
      <c r="AP1693" s="145"/>
      <c r="AQ1693" s="145"/>
    </row>
    <row r="1694" spans="37:43">
      <c r="AK1694" s="145"/>
      <c r="AL1694" s="145"/>
      <c r="AM1694" s="145"/>
      <c r="AN1694" s="145"/>
      <c r="AO1694" s="145"/>
      <c r="AP1694" s="145"/>
      <c r="AQ1694" s="145"/>
    </row>
    <row r="1695" spans="37:43">
      <c r="AK1695" s="145"/>
      <c r="AL1695" s="145"/>
      <c r="AM1695" s="145"/>
      <c r="AN1695" s="145"/>
      <c r="AO1695" s="145"/>
      <c r="AP1695" s="145"/>
      <c r="AQ1695" s="145"/>
    </row>
    <row r="1696" spans="37:43">
      <c r="AK1696" s="145"/>
      <c r="AL1696" s="145"/>
      <c r="AM1696" s="145"/>
      <c r="AN1696" s="145"/>
      <c r="AO1696" s="145"/>
      <c r="AP1696" s="145"/>
      <c r="AQ1696" s="145"/>
    </row>
    <row r="1697" spans="37:43">
      <c r="AK1697" s="145"/>
      <c r="AL1697" s="145"/>
      <c r="AM1697" s="145"/>
      <c r="AN1697" s="145"/>
      <c r="AO1697" s="145"/>
      <c r="AP1697" s="145"/>
      <c r="AQ1697" s="145"/>
    </row>
    <row r="1698" spans="37:43">
      <c r="AK1698" s="145"/>
      <c r="AL1698" s="145"/>
      <c r="AM1698" s="145"/>
      <c r="AN1698" s="145"/>
      <c r="AO1698" s="145"/>
      <c r="AP1698" s="145"/>
      <c r="AQ1698" s="145"/>
    </row>
    <row r="1699" spans="37:43">
      <c r="AK1699" s="145"/>
      <c r="AL1699" s="145"/>
      <c r="AM1699" s="145"/>
      <c r="AN1699" s="145"/>
      <c r="AO1699" s="145"/>
      <c r="AP1699" s="145"/>
      <c r="AQ1699" s="145"/>
    </row>
    <row r="1700" spans="37:43">
      <c r="AK1700" s="145"/>
      <c r="AL1700" s="145"/>
      <c r="AM1700" s="145"/>
      <c r="AN1700" s="145"/>
      <c r="AO1700" s="145"/>
      <c r="AP1700" s="145"/>
      <c r="AQ1700" s="145"/>
    </row>
    <row r="1701" spans="37:43">
      <c r="AK1701" s="145"/>
      <c r="AL1701" s="145"/>
      <c r="AM1701" s="145"/>
      <c r="AN1701" s="145"/>
      <c r="AO1701" s="145"/>
      <c r="AP1701" s="145"/>
      <c r="AQ1701" s="145"/>
    </row>
    <row r="1702" spans="37:43">
      <c r="AK1702" s="145"/>
      <c r="AL1702" s="145"/>
      <c r="AM1702" s="145"/>
      <c r="AN1702" s="145"/>
      <c r="AO1702" s="145"/>
      <c r="AP1702" s="145"/>
      <c r="AQ1702" s="145"/>
    </row>
    <row r="1703" spans="37:43">
      <c r="AK1703" s="145"/>
      <c r="AL1703" s="145"/>
      <c r="AM1703" s="145"/>
      <c r="AN1703" s="145"/>
      <c r="AO1703" s="145"/>
      <c r="AP1703" s="145"/>
      <c r="AQ1703" s="145"/>
    </row>
    <row r="1704" spans="37:43">
      <c r="AK1704" s="145"/>
      <c r="AL1704" s="145"/>
      <c r="AM1704" s="145"/>
      <c r="AN1704" s="145"/>
      <c r="AO1704" s="145"/>
      <c r="AP1704" s="145"/>
      <c r="AQ1704" s="145"/>
    </row>
    <row r="1705" spans="37:43">
      <c r="AK1705" s="145"/>
      <c r="AL1705" s="145"/>
      <c r="AM1705" s="145"/>
      <c r="AN1705" s="145"/>
      <c r="AO1705" s="145"/>
      <c r="AP1705" s="145"/>
      <c r="AQ1705" s="145"/>
    </row>
    <row r="1706" spans="37:43">
      <c r="AK1706" s="145"/>
      <c r="AL1706" s="145"/>
      <c r="AM1706" s="145"/>
      <c r="AN1706" s="145"/>
      <c r="AO1706" s="145"/>
      <c r="AP1706" s="145"/>
      <c r="AQ1706" s="145"/>
    </row>
    <row r="1707" spans="37:43">
      <c r="AK1707" s="145"/>
      <c r="AL1707" s="145"/>
      <c r="AM1707" s="145"/>
      <c r="AN1707" s="145"/>
      <c r="AO1707" s="145"/>
      <c r="AP1707" s="145"/>
      <c r="AQ1707" s="145"/>
    </row>
    <row r="1708" spans="37:43">
      <c r="AK1708" s="145"/>
      <c r="AL1708" s="145"/>
      <c r="AM1708" s="145"/>
      <c r="AN1708" s="145"/>
      <c r="AO1708" s="145"/>
      <c r="AP1708" s="145"/>
      <c r="AQ1708" s="145"/>
    </row>
    <row r="1709" spans="37:43">
      <c r="AK1709" s="145"/>
      <c r="AL1709" s="145"/>
      <c r="AM1709" s="145"/>
      <c r="AN1709" s="145"/>
      <c r="AO1709" s="145"/>
      <c r="AP1709" s="145"/>
      <c r="AQ1709" s="145"/>
    </row>
    <row r="1710" spans="37:43">
      <c r="AK1710" s="145"/>
      <c r="AL1710" s="145"/>
      <c r="AM1710" s="145"/>
      <c r="AN1710" s="145"/>
      <c r="AO1710" s="145"/>
      <c r="AP1710" s="145"/>
      <c r="AQ1710" s="145"/>
    </row>
    <row r="1711" spans="37:43">
      <c r="AK1711" s="145"/>
      <c r="AL1711" s="145"/>
      <c r="AM1711" s="145"/>
      <c r="AN1711" s="145"/>
      <c r="AO1711" s="145"/>
      <c r="AP1711" s="145"/>
      <c r="AQ1711" s="145"/>
    </row>
    <row r="1712" spans="37:43">
      <c r="AK1712" s="145"/>
      <c r="AL1712" s="145"/>
      <c r="AM1712" s="145"/>
      <c r="AN1712" s="145"/>
      <c r="AO1712" s="145"/>
      <c r="AP1712" s="145"/>
      <c r="AQ1712" s="145"/>
    </row>
    <row r="1713" spans="37:43">
      <c r="AK1713" s="145"/>
      <c r="AL1713" s="145"/>
      <c r="AM1713" s="145"/>
      <c r="AN1713" s="145"/>
      <c r="AO1713" s="145"/>
      <c r="AP1713" s="145"/>
      <c r="AQ1713" s="145"/>
    </row>
    <row r="1714" spans="37:43">
      <c r="AK1714" s="145"/>
      <c r="AL1714" s="145"/>
      <c r="AM1714" s="145"/>
      <c r="AN1714" s="145"/>
      <c r="AO1714" s="145"/>
      <c r="AP1714" s="145"/>
      <c r="AQ1714" s="145"/>
    </row>
    <row r="1715" spans="37:43">
      <c r="AK1715" s="145"/>
      <c r="AL1715" s="145"/>
      <c r="AM1715" s="145"/>
      <c r="AN1715" s="145"/>
      <c r="AO1715" s="145"/>
      <c r="AP1715" s="145"/>
      <c r="AQ1715" s="145"/>
    </row>
    <row r="1716" spans="37:43">
      <c r="AK1716" s="145"/>
      <c r="AL1716" s="145"/>
      <c r="AM1716" s="145"/>
      <c r="AN1716" s="145"/>
      <c r="AO1716" s="145"/>
      <c r="AP1716" s="145"/>
      <c r="AQ1716" s="145"/>
    </row>
    <row r="1717" spans="37:43">
      <c r="AK1717" s="145"/>
      <c r="AL1717" s="145"/>
      <c r="AM1717" s="145"/>
      <c r="AN1717" s="145"/>
      <c r="AO1717" s="145"/>
      <c r="AP1717" s="145"/>
      <c r="AQ1717" s="145"/>
    </row>
    <row r="1718" spans="37:43">
      <c r="AK1718" s="145"/>
      <c r="AL1718" s="145"/>
      <c r="AM1718" s="145"/>
      <c r="AN1718" s="145"/>
      <c r="AO1718" s="145"/>
      <c r="AP1718" s="145"/>
      <c r="AQ1718" s="145"/>
    </row>
    <row r="1719" spans="37:43">
      <c r="AK1719" s="145"/>
      <c r="AL1719" s="145"/>
      <c r="AM1719" s="145"/>
      <c r="AN1719" s="145"/>
      <c r="AO1719" s="145"/>
      <c r="AP1719" s="145"/>
      <c r="AQ1719" s="145"/>
    </row>
    <row r="1720" spans="37:43">
      <c r="AK1720" s="145"/>
      <c r="AL1720" s="145"/>
      <c r="AM1720" s="145"/>
      <c r="AN1720" s="145"/>
      <c r="AO1720" s="145"/>
      <c r="AP1720" s="145"/>
      <c r="AQ1720" s="145"/>
    </row>
    <row r="1721" spans="37:43">
      <c r="AK1721" s="145"/>
      <c r="AL1721" s="145"/>
      <c r="AM1721" s="145"/>
      <c r="AN1721" s="145"/>
      <c r="AO1721" s="145"/>
      <c r="AP1721" s="145"/>
      <c r="AQ1721" s="145"/>
    </row>
    <row r="1722" spans="37:43">
      <c r="AK1722" s="145"/>
      <c r="AL1722" s="145"/>
      <c r="AM1722" s="145"/>
      <c r="AN1722" s="145"/>
      <c r="AO1722" s="145"/>
      <c r="AP1722" s="145"/>
      <c r="AQ1722" s="145"/>
    </row>
    <row r="1723" spans="37:43">
      <c r="AK1723" s="145"/>
      <c r="AL1723" s="145"/>
      <c r="AM1723" s="145"/>
      <c r="AN1723" s="145"/>
      <c r="AO1723" s="145"/>
      <c r="AP1723" s="145"/>
      <c r="AQ1723" s="145"/>
    </row>
    <row r="1724" spans="37:43">
      <c r="AK1724" s="145"/>
      <c r="AL1724" s="145"/>
      <c r="AM1724" s="145"/>
      <c r="AN1724" s="145"/>
      <c r="AO1724" s="145"/>
      <c r="AP1724" s="145"/>
      <c r="AQ1724" s="145"/>
    </row>
    <row r="1725" spans="37:43">
      <c r="AK1725" s="145"/>
      <c r="AL1725" s="145"/>
      <c r="AM1725" s="145"/>
      <c r="AN1725" s="145"/>
      <c r="AO1725" s="145"/>
      <c r="AP1725" s="145"/>
      <c r="AQ1725" s="145"/>
    </row>
    <row r="1726" spans="37:43">
      <c r="AK1726" s="145"/>
      <c r="AL1726" s="145"/>
      <c r="AM1726" s="145"/>
      <c r="AN1726" s="145"/>
      <c r="AO1726" s="145"/>
      <c r="AP1726" s="145"/>
      <c r="AQ1726" s="145"/>
    </row>
    <row r="1727" spans="37:43">
      <c r="AK1727" s="145"/>
      <c r="AL1727" s="145"/>
      <c r="AM1727" s="145"/>
      <c r="AN1727" s="145"/>
      <c r="AO1727" s="145"/>
      <c r="AP1727" s="145"/>
      <c r="AQ1727" s="145"/>
    </row>
    <row r="1728" spans="37:43">
      <c r="AK1728" s="145"/>
      <c r="AL1728" s="145"/>
      <c r="AM1728" s="145"/>
      <c r="AN1728" s="145"/>
      <c r="AO1728" s="145"/>
      <c r="AP1728" s="145"/>
      <c r="AQ1728" s="145"/>
    </row>
    <row r="1729" spans="37:43">
      <c r="AK1729" s="145"/>
      <c r="AL1729" s="145"/>
      <c r="AM1729" s="145"/>
      <c r="AN1729" s="145"/>
      <c r="AO1729" s="145"/>
      <c r="AP1729" s="145"/>
      <c r="AQ1729" s="145"/>
    </row>
    <row r="1730" spans="37:43">
      <c r="AK1730" s="145"/>
      <c r="AL1730" s="145"/>
      <c r="AM1730" s="145"/>
      <c r="AN1730" s="145"/>
      <c r="AO1730" s="145"/>
      <c r="AP1730" s="145"/>
      <c r="AQ1730" s="145"/>
    </row>
    <row r="1731" spans="37:43">
      <c r="AK1731" s="145"/>
      <c r="AL1731" s="145"/>
      <c r="AM1731" s="145"/>
      <c r="AN1731" s="145"/>
      <c r="AO1731" s="145"/>
      <c r="AP1731" s="145"/>
      <c r="AQ1731" s="145"/>
    </row>
    <row r="1732" spans="37:43">
      <c r="AK1732" s="145"/>
      <c r="AL1732" s="145"/>
      <c r="AM1732" s="145"/>
      <c r="AN1732" s="145"/>
      <c r="AO1732" s="145"/>
      <c r="AP1732" s="145"/>
      <c r="AQ1732" s="145"/>
    </row>
    <row r="1733" spans="37:43">
      <c r="AK1733" s="145"/>
      <c r="AL1733" s="145"/>
      <c r="AM1733" s="145"/>
      <c r="AN1733" s="145"/>
      <c r="AO1733" s="145"/>
      <c r="AP1733" s="145"/>
      <c r="AQ1733" s="145"/>
    </row>
    <row r="1734" spans="37:43">
      <c r="AK1734" s="145"/>
      <c r="AL1734" s="145"/>
      <c r="AM1734" s="145"/>
      <c r="AN1734" s="145"/>
      <c r="AO1734" s="145"/>
      <c r="AP1734" s="145"/>
      <c r="AQ1734" s="145"/>
    </row>
    <row r="1735" spans="37:43">
      <c r="AK1735" s="145"/>
      <c r="AL1735" s="145"/>
      <c r="AM1735" s="145"/>
      <c r="AN1735" s="145"/>
      <c r="AO1735" s="145"/>
      <c r="AP1735" s="145"/>
      <c r="AQ1735" s="145"/>
    </row>
    <row r="1736" spans="37:43">
      <c r="AK1736" s="145"/>
      <c r="AL1736" s="145"/>
      <c r="AM1736" s="145"/>
      <c r="AN1736" s="145"/>
      <c r="AO1736" s="145"/>
      <c r="AP1736" s="145"/>
      <c r="AQ1736" s="145"/>
    </row>
    <row r="1737" spans="37:43">
      <c r="AK1737" s="145"/>
      <c r="AL1737" s="145"/>
      <c r="AM1737" s="145"/>
      <c r="AN1737" s="145"/>
      <c r="AO1737" s="145"/>
      <c r="AP1737" s="145"/>
      <c r="AQ1737" s="145"/>
    </row>
    <row r="1738" spans="37:43">
      <c r="AK1738" s="145"/>
      <c r="AL1738" s="145"/>
      <c r="AM1738" s="145"/>
      <c r="AN1738" s="145"/>
      <c r="AO1738" s="145"/>
      <c r="AP1738" s="145"/>
      <c r="AQ1738" s="145"/>
    </row>
    <row r="1739" spans="37:43">
      <c r="AK1739" s="145"/>
      <c r="AL1739" s="145"/>
      <c r="AM1739" s="145"/>
      <c r="AN1739" s="145"/>
      <c r="AO1739" s="145"/>
      <c r="AP1739" s="145"/>
      <c r="AQ1739" s="145"/>
    </row>
    <row r="1740" spans="37:43">
      <c r="AK1740" s="145"/>
      <c r="AL1740" s="145"/>
      <c r="AM1740" s="145"/>
      <c r="AN1740" s="145"/>
      <c r="AO1740" s="145"/>
      <c r="AP1740" s="145"/>
      <c r="AQ1740" s="145"/>
    </row>
    <row r="1741" spans="37:43">
      <c r="AK1741" s="145"/>
      <c r="AL1741" s="145"/>
      <c r="AM1741" s="145"/>
      <c r="AN1741" s="145"/>
      <c r="AO1741" s="145"/>
      <c r="AP1741" s="145"/>
      <c r="AQ1741" s="145"/>
    </row>
    <row r="1742" spans="37:43">
      <c r="AK1742" s="145"/>
      <c r="AL1742" s="145"/>
      <c r="AM1742" s="145"/>
      <c r="AN1742" s="145"/>
      <c r="AO1742" s="145"/>
      <c r="AP1742" s="145"/>
      <c r="AQ1742" s="145"/>
    </row>
    <row r="1743" spans="37:43">
      <c r="AK1743" s="145"/>
      <c r="AL1743" s="145"/>
      <c r="AM1743" s="145"/>
      <c r="AN1743" s="145"/>
      <c r="AO1743" s="145"/>
      <c r="AP1743" s="145"/>
      <c r="AQ1743" s="145"/>
    </row>
    <row r="1744" spans="37:43">
      <c r="AK1744" s="145"/>
      <c r="AL1744" s="145"/>
      <c r="AM1744" s="145"/>
      <c r="AN1744" s="145"/>
      <c r="AO1744" s="145"/>
      <c r="AP1744" s="145"/>
      <c r="AQ1744" s="145"/>
    </row>
    <row r="1745" spans="37:43">
      <c r="AK1745" s="145"/>
      <c r="AL1745" s="145"/>
      <c r="AM1745" s="145"/>
      <c r="AN1745" s="145"/>
      <c r="AO1745" s="145"/>
      <c r="AP1745" s="145"/>
      <c r="AQ1745" s="145"/>
    </row>
    <row r="1746" spans="37:43">
      <c r="AK1746" s="145"/>
      <c r="AL1746" s="145"/>
      <c r="AM1746" s="145"/>
      <c r="AN1746" s="145"/>
      <c r="AO1746" s="145"/>
      <c r="AP1746" s="145"/>
      <c r="AQ1746" s="145"/>
    </row>
    <row r="1747" spans="37:43">
      <c r="AK1747" s="145"/>
      <c r="AL1747" s="145"/>
      <c r="AM1747" s="145"/>
      <c r="AN1747" s="145"/>
      <c r="AO1747" s="145"/>
      <c r="AP1747" s="145"/>
      <c r="AQ1747" s="145"/>
    </row>
    <row r="1748" spans="37:43">
      <c r="AK1748" s="145"/>
      <c r="AL1748" s="145"/>
      <c r="AM1748" s="145"/>
      <c r="AN1748" s="145"/>
      <c r="AO1748" s="145"/>
      <c r="AP1748" s="145"/>
      <c r="AQ1748" s="145"/>
    </row>
    <row r="1749" spans="37:43">
      <c r="AK1749" s="145"/>
      <c r="AL1749" s="145"/>
      <c r="AM1749" s="145"/>
      <c r="AN1749" s="145"/>
      <c r="AO1749" s="145"/>
      <c r="AP1749" s="145"/>
      <c r="AQ1749" s="145"/>
    </row>
    <row r="1750" spans="37:43">
      <c r="AK1750" s="145"/>
      <c r="AL1750" s="145"/>
      <c r="AM1750" s="145"/>
      <c r="AN1750" s="145"/>
      <c r="AO1750" s="145"/>
      <c r="AP1750" s="145"/>
      <c r="AQ1750" s="145"/>
    </row>
    <row r="1751" spans="37:43">
      <c r="AK1751" s="145"/>
      <c r="AL1751" s="145"/>
      <c r="AM1751" s="145"/>
      <c r="AN1751" s="145"/>
      <c r="AO1751" s="145"/>
      <c r="AP1751" s="145"/>
      <c r="AQ1751" s="145"/>
    </row>
    <row r="1752" spans="37:43">
      <c r="AK1752" s="145"/>
      <c r="AL1752" s="145"/>
      <c r="AM1752" s="145"/>
      <c r="AN1752" s="145"/>
      <c r="AO1752" s="145"/>
      <c r="AP1752" s="145"/>
      <c r="AQ1752" s="145"/>
    </row>
    <row r="1753" spans="37:43">
      <c r="AK1753" s="145"/>
      <c r="AL1753" s="145"/>
      <c r="AM1753" s="145"/>
      <c r="AN1753" s="145"/>
      <c r="AO1753" s="145"/>
      <c r="AP1753" s="145"/>
      <c r="AQ1753" s="145"/>
    </row>
    <row r="1754" spans="37:43">
      <c r="AK1754" s="145"/>
      <c r="AL1754" s="145"/>
      <c r="AM1754" s="145"/>
      <c r="AN1754" s="145"/>
      <c r="AO1754" s="145"/>
      <c r="AP1754" s="145"/>
      <c r="AQ1754" s="145"/>
    </row>
    <row r="1755" spans="37:43">
      <c r="AK1755" s="145"/>
      <c r="AL1755" s="145"/>
      <c r="AM1755" s="145"/>
      <c r="AN1755" s="145"/>
      <c r="AO1755" s="145"/>
      <c r="AP1755" s="145"/>
      <c r="AQ1755" s="145"/>
    </row>
    <row r="1756" spans="37:43">
      <c r="AK1756" s="145"/>
      <c r="AL1756" s="145"/>
      <c r="AM1756" s="145"/>
      <c r="AN1756" s="145"/>
      <c r="AO1756" s="145"/>
      <c r="AP1756" s="145"/>
      <c r="AQ1756" s="145"/>
    </row>
    <row r="1757" spans="37:43">
      <c r="AK1757" s="145"/>
      <c r="AL1757" s="145"/>
      <c r="AM1757" s="145"/>
      <c r="AN1757" s="145"/>
      <c r="AO1757" s="145"/>
      <c r="AP1757" s="145"/>
      <c r="AQ1757" s="145"/>
    </row>
    <row r="1758" spans="37:43">
      <c r="AK1758" s="145"/>
      <c r="AL1758" s="145"/>
      <c r="AM1758" s="145"/>
      <c r="AN1758" s="145"/>
      <c r="AO1758" s="145"/>
      <c r="AP1758" s="145"/>
      <c r="AQ1758" s="145"/>
    </row>
    <row r="1759" spans="37:43">
      <c r="AK1759" s="145"/>
      <c r="AL1759" s="145"/>
      <c r="AM1759" s="145"/>
      <c r="AN1759" s="145"/>
      <c r="AO1759" s="145"/>
      <c r="AP1759" s="145"/>
      <c r="AQ1759" s="145"/>
    </row>
    <row r="1760" spans="37:43">
      <c r="AK1760" s="145"/>
      <c r="AL1760" s="145"/>
      <c r="AM1760" s="145"/>
      <c r="AN1760" s="145"/>
      <c r="AO1760" s="145"/>
      <c r="AP1760" s="145"/>
      <c r="AQ1760" s="145"/>
    </row>
    <row r="1761" spans="37:43">
      <c r="AK1761" s="145"/>
      <c r="AL1761" s="145"/>
      <c r="AM1761" s="145"/>
      <c r="AN1761" s="145"/>
      <c r="AO1761" s="145"/>
      <c r="AP1761" s="145"/>
      <c r="AQ1761" s="145"/>
    </row>
    <row r="1762" spans="37:43">
      <c r="AK1762" s="145"/>
      <c r="AL1762" s="145"/>
      <c r="AM1762" s="145"/>
      <c r="AN1762" s="145"/>
      <c r="AO1762" s="145"/>
      <c r="AP1762" s="145"/>
      <c r="AQ1762" s="145"/>
    </row>
    <row r="1763" spans="37:43">
      <c r="AK1763" s="145"/>
      <c r="AL1763" s="145"/>
      <c r="AM1763" s="145"/>
      <c r="AN1763" s="145"/>
      <c r="AO1763" s="145"/>
      <c r="AP1763" s="145"/>
      <c r="AQ1763" s="145"/>
    </row>
    <row r="1764" spans="37:43">
      <c r="AK1764" s="145"/>
      <c r="AL1764" s="145"/>
      <c r="AM1764" s="145"/>
      <c r="AN1764" s="145"/>
      <c r="AO1764" s="145"/>
      <c r="AP1764" s="145"/>
      <c r="AQ1764" s="145"/>
    </row>
    <row r="1765" spans="37:43">
      <c r="AK1765" s="145"/>
      <c r="AL1765" s="145"/>
      <c r="AM1765" s="145"/>
      <c r="AN1765" s="145"/>
      <c r="AO1765" s="145"/>
      <c r="AP1765" s="145"/>
      <c r="AQ1765" s="145"/>
    </row>
    <row r="1766" spans="37:43">
      <c r="AK1766" s="145"/>
      <c r="AL1766" s="145"/>
      <c r="AM1766" s="145"/>
      <c r="AN1766" s="145"/>
      <c r="AO1766" s="145"/>
      <c r="AP1766" s="145"/>
      <c r="AQ1766" s="145"/>
    </row>
    <row r="1767" spans="37:43">
      <c r="AK1767" s="145"/>
      <c r="AL1767" s="145"/>
      <c r="AM1767" s="145"/>
      <c r="AN1767" s="145"/>
      <c r="AO1767" s="145"/>
      <c r="AP1767" s="145"/>
      <c r="AQ1767" s="145"/>
    </row>
    <row r="1768" spans="37:43">
      <c r="AK1768" s="145"/>
      <c r="AL1768" s="145"/>
      <c r="AM1768" s="145"/>
      <c r="AN1768" s="145"/>
      <c r="AO1768" s="145"/>
      <c r="AP1768" s="145"/>
      <c r="AQ1768" s="145"/>
    </row>
    <row r="1769" spans="37:43">
      <c r="AK1769" s="145"/>
      <c r="AL1769" s="145"/>
      <c r="AM1769" s="145"/>
      <c r="AN1769" s="145"/>
      <c r="AO1769" s="145"/>
      <c r="AP1769" s="145"/>
      <c r="AQ1769" s="145"/>
    </row>
    <row r="1770" spans="37:43">
      <c r="AK1770" s="145"/>
      <c r="AL1770" s="145"/>
      <c r="AM1770" s="145"/>
      <c r="AN1770" s="145"/>
      <c r="AO1770" s="145"/>
      <c r="AP1770" s="145"/>
      <c r="AQ1770" s="145"/>
    </row>
    <row r="1771" spans="37:43">
      <c r="AK1771" s="145"/>
      <c r="AL1771" s="145"/>
      <c r="AM1771" s="145"/>
      <c r="AN1771" s="145"/>
      <c r="AO1771" s="145"/>
      <c r="AP1771" s="145"/>
      <c r="AQ1771" s="145"/>
    </row>
    <row r="1772" spans="37:43">
      <c r="AK1772" s="145"/>
      <c r="AL1772" s="145"/>
      <c r="AM1772" s="145"/>
      <c r="AN1772" s="145"/>
      <c r="AO1772" s="145"/>
      <c r="AP1772" s="145"/>
      <c r="AQ1772" s="145"/>
    </row>
    <row r="1773" spans="37:43">
      <c r="AK1773" s="145"/>
      <c r="AL1773" s="145"/>
      <c r="AM1773" s="145"/>
      <c r="AN1773" s="145"/>
      <c r="AO1773" s="145"/>
      <c r="AP1773" s="145"/>
      <c r="AQ1773" s="145"/>
    </row>
    <row r="1774" spans="37:43">
      <c r="AK1774" s="145"/>
      <c r="AL1774" s="145"/>
      <c r="AM1774" s="145"/>
      <c r="AN1774" s="145"/>
      <c r="AO1774" s="145"/>
      <c r="AP1774" s="145"/>
      <c r="AQ1774" s="145"/>
    </row>
    <row r="1775" spans="37:43">
      <c r="AK1775" s="145"/>
      <c r="AL1775" s="145"/>
      <c r="AM1775" s="145"/>
      <c r="AN1775" s="145"/>
      <c r="AO1775" s="145"/>
      <c r="AP1775" s="145"/>
      <c r="AQ1775" s="145"/>
    </row>
    <row r="1776" spans="37:43">
      <c r="AK1776" s="145"/>
      <c r="AL1776" s="145"/>
      <c r="AM1776" s="145"/>
      <c r="AN1776" s="145"/>
      <c r="AO1776" s="145"/>
      <c r="AP1776" s="145"/>
      <c r="AQ1776" s="145"/>
    </row>
    <row r="1777" spans="37:43">
      <c r="AK1777" s="145"/>
      <c r="AL1777" s="145"/>
      <c r="AM1777" s="145"/>
      <c r="AN1777" s="145"/>
      <c r="AO1777" s="145"/>
      <c r="AP1777" s="145"/>
      <c r="AQ1777" s="145"/>
    </row>
    <row r="1778" spans="37:43">
      <c r="AK1778" s="145"/>
      <c r="AL1778" s="145"/>
      <c r="AM1778" s="145"/>
      <c r="AN1778" s="145"/>
      <c r="AO1778" s="145"/>
      <c r="AP1778" s="145"/>
      <c r="AQ1778" s="145"/>
    </row>
    <row r="1779" spans="37:43">
      <c r="AK1779" s="145"/>
      <c r="AL1779" s="145"/>
      <c r="AM1779" s="145"/>
      <c r="AN1779" s="145"/>
      <c r="AO1779" s="145"/>
      <c r="AP1779" s="145"/>
      <c r="AQ1779" s="145"/>
    </row>
    <row r="1780" spans="37:43">
      <c r="AK1780" s="145"/>
      <c r="AL1780" s="145"/>
      <c r="AM1780" s="145"/>
      <c r="AN1780" s="145"/>
      <c r="AO1780" s="145"/>
      <c r="AP1780" s="145"/>
      <c r="AQ1780" s="145"/>
    </row>
    <row r="1781" spans="37:43">
      <c r="AK1781" s="145"/>
      <c r="AL1781" s="145"/>
      <c r="AM1781" s="145"/>
      <c r="AN1781" s="145"/>
      <c r="AO1781" s="145"/>
      <c r="AP1781" s="145"/>
      <c r="AQ1781" s="145"/>
    </row>
    <row r="1782" spans="37:43">
      <c r="AK1782" s="145"/>
      <c r="AL1782" s="145"/>
      <c r="AM1782" s="145"/>
      <c r="AN1782" s="145"/>
      <c r="AO1782" s="145"/>
      <c r="AP1782" s="145"/>
      <c r="AQ1782" s="145"/>
    </row>
    <row r="1783" spans="37:43">
      <c r="AK1783" s="145"/>
      <c r="AL1783" s="145"/>
      <c r="AM1783" s="145"/>
      <c r="AN1783" s="145"/>
      <c r="AO1783" s="145"/>
      <c r="AP1783" s="145"/>
      <c r="AQ1783" s="145"/>
    </row>
    <row r="1784" spans="37:43">
      <c r="AK1784" s="145"/>
      <c r="AL1784" s="145"/>
      <c r="AM1784" s="145"/>
      <c r="AN1784" s="145"/>
      <c r="AO1784" s="145"/>
      <c r="AP1784" s="145"/>
      <c r="AQ1784" s="145"/>
    </row>
    <row r="1785" spans="37:43">
      <c r="AK1785" s="145"/>
      <c r="AL1785" s="145"/>
      <c r="AM1785" s="145"/>
      <c r="AN1785" s="145"/>
      <c r="AO1785" s="145"/>
      <c r="AP1785" s="145"/>
      <c r="AQ1785" s="145"/>
    </row>
    <row r="1786" spans="37:43">
      <c r="AK1786" s="145"/>
      <c r="AL1786" s="145"/>
      <c r="AM1786" s="145"/>
      <c r="AN1786" s="145"/>
      <c r="AO1786" s="145"/>
      <c r="AP1786" s="145"/>
      <c r="AQ1786" s="145"/>
    </row>
    <row r="1787" spans="37:43">
      <c r="AK1787" s="145"/>
      <c r="AL1787" s="145"/>
      <c r="AM1787" s="145"/>
      <c r="AN1787" s="145"/>
      <c r="AO1787" s="145"/>
      <c r="AP1787" s="145"/>
      <c r="AQ1787" s="145"/>
    </row>
    <row r="1788" spans="37:43">
      <c r="AK1788" s="145"/>
      <c r="AL1788" s="145"/>
      <c r="AM1788" s="145"/>
      <c r="AN1788" s="145"/>
      <c r="AO1788" s="145"/>
      <c r="AP1788" s="145"/>
      <c r="AQ1788" s="145"/>
    </row>
    <row r="1789" spans="37:43">
      <c r="AK1789" s="145"/>
      <c r="AL1789" s="145"/>
      <c r="AM1789" s="145"/>
      <c r="AN1789" s="145"/>
      <c r="AO1789" s="145"/>
      <c r="AP1789" s="145"/>
      <c r="AQ1789" s="145"/>
    </row>
    <row r="1790" spans="37:43">
      <c r="AK1790" s="145"/>
      <c r="AL1790" s="145"/>
      <c r="AM1790" s="145"/>
      <c r="AN1790" s="145"/>
      <c r="AO1790" s="145"/>
      <c r="AP1790" s="145"/>
      <c r="AQ1790" s="145"/>
    </row>
    <row r="1791" spans="37:43">
      <c r="AK1791" s="145"/>
      <c r="AL1791" s="145"/>
      <c r="AM1791" s="145"/>
      <c r="AN1791" s="145"/>
      <c r="AO1791" s="145"/>
      <c r="AP1791" s="145"/>
      <c r="AQ1791" s="145"/>
    </row>
    <row r="1792" spans="37:43">
      <c r="AK1792" s="145"/>
      <c r="AL1792" s="145"/>
      <c r="AM1792" s="145"/>
      <c r="AN1792" s="145"/>
      <c r="AO1792" s="145"/>
      <c r="AP1792" s="145"/>
      <c r="AQ1792" s="145"/>
    </row>
    <row r="1793" spans="37:43">
      <c r="AK1793" s="145"/>
      <c r="AL1793" s="145"/>
      <c r="AM1793" s="145"/>
      <c r="AN1793" s="145"/>
      <c r="AO1793" s="145"/>
      <c r="AP1793" s="145"/>
      <c r="AQ1793" s="145"/>
    </row>
    <row r="1794" spans="37:43">
      <c r="AK1794" s="145"/>
      <c r="AL1794" s="145"/>
      <c r="AM1794" s="145"/>
      <c r="AN1794" s="145"/>
      <c r="AO1794" s="145"/>
      <c r="AP1794" s="145"/>
      <c r="AQ1794" s="145"/>
    </row>
    <row r="1795" spans="37:43">
      <c r="AK1795" s="145"/>
      <c r="AL1795" s="145"/>
      <c r="AM1795" s="145"/>
      <c r="AN1795" s="145"/>
      <c r="AO1795" s="145"/>
      <c r="AP1795" s="145"/>
      <c r="AQ1795" s="145"/>
    </row>
    <row r="1796" spans="37:43">
      <c r="AK1796" s="145"/>
      <c r="AL1796" s="145"/>
      <c r="AM1796" s="145"/>
      <c r="AN1796" s="145"/>
      <c r="AO1796" s="145"/>
      <c r="AP1796" s="145"/>
      <c r="AQ1796" s="145"/>
    </row>
    <row r="1797" spans="37:43">
      <c r="AK1797" s="145"/>
      <c r="AL1797" s="145"/>
      <c r="AM1797" s="145"/>
      <c r="AN1797" s="145"/>
      <c r="AO1797" s="145"/>
      <c r="AP1797" s="145"/>
      <c r="AQ1797" s="145"/>
    </row>
    <row r="1798" spans="37:43">
      <c r="AK1798" s="145"/>
      <c r="AL1798" s="145"/>
      <c r="AM1798" s="145"/>
      <c r="AN1798" s="145"/>
      <c r="AO1798" s="145"/>
      <c r="AP1798" s="145"/>
      <c r="AQ1798" s="145"/>
    </row>
    <row r="1799" spans="37:43">
      <c r="AK1799" s="145"/>
      <c r="AL1799" s="145"/>
      <c r="AM1799" s="145"/>
      <c r="AN1799" s="145"/>
      <c r="AO1799" s="145"/>
      <c r="AP1799" s="145"/>
      <c r="AQ1799" s="145"/>
    </row>
    <row r="1800" spans="37:43">
      <c r="AK1800" s="145"/>
      <c r="AL1800" s="145"/>
      <c r="AM1800" s="145"/>
      <c r="AN1800" s="145"/>
      <c r="AO1800" s="145"/>
      <c r="AP1800" s="145"/>
      <c r="AQ1800" s="145"/>
    </row>
    <row r="1801" spans="37:43">
      <c r="AK1801" s="145"/>
      <c r="AL1801" s="145"/>
      <c r="AM1801" s="145"/>
      <c r="AN1801" s="145"/>
      <c r="AO1801" s="145"/>
      <c r="AP1801" s="145"/>
      <c r="AQ1801" s="145"/>
    </row>
    <row r="1802" spans="37:43">
      <c r="AK1802" s="145"/>
      <c r="AL1802" s="145"/>
      <c r="AM1802" s="145"/>
      <c r="AN1802" s="145"/>
      <c r="AO1802" s="145"/>
      <c r="AP1802" s="145"/>
      <c r="AQ1802" s="145"/>
    </row>
    <row r="1803" spans="37:43">
      <c r="AK1803" s="145"/>
      <c r="AL1803" s="145"/>
      <c r="AM1803" s="145"/>
      <c r="AN1803" s="145"/>
      <c r="AO1803" s="145"/>
      <c r="AP1803" s="145"/>
      <c r="AQ1803" s="145"/>
    </row>
    <row r="1804" spans="37:43">
      <c r="AK1804" s="145"/>
      <c r="AL1804" s="145"/>
      <c r="AM1804" s="145"/>
      <c r="AN1804" s="145"/>
      <c r="AO1804" s="145"/>
      <c r="AP1804" s="145"/>
      <c r="AQ1804" s="145"/>
    </row>
    <row r="1805" spans="37:43">
      <c r="AK1805" s="145"/>
      <c r="AL1805" s="145"/>
      <c r="AM1805" s="145"/>
      <c r="AN1805" s="145"/>
      <c r="AO1805" s="145"/>
      <c r="AP1805" s="145"/>
      <c r="AQ1805" s="145"/>
    </row>
    <row r="1806" spans="37:43">
      <c r="AK1806" s="145"/>
      <c r="AL1806" s="145"/>
      <c r="AM1806" s="145"/>
      <c r="AN1806" s="145"/>
      <c r="AO1806" s="145"/>
      <c r="AP1806" s="145"/>
      <c r="AQ1806" s="145"/>
    </row>
    <row r="1807" spans="37:43">
      <c r="AK1807" s="145"/>
      <c r="AL1807" s="145"/>
      <c r="AM1807" s="145"/>
      <c r="AN1807" s="145"/>
      <c r="AO1807" s="145"/>
      <c r="AP1807" s="145"/>
      <c r="AQ1807" s="145"/>
    </row>
    <row r="1808" spans="37:43">
      <c r="AK1808" s="145"/>
      <c r="AL1808" s="145"/>
      <c r="AM1808" s="145"/>
      <c r="AN1808" s="145"/>
      <c r="AO1808" s="145"/>
      <c r="AP1808" s="145"/>
      <c r="AQ1808" s="145"/>
    </row>
    <row r="1809" spans="37:43">
      <c r="AK1809" s="145"/>
      <c r="AL1809" s="145"/>
      <c r="AM1809" s="145"/>
      <c r="AN1809" s="145"/>
      <c r="AO1809" s="145"/>
      <c r="AP1809" s="145"/>
      <c r="AQ1809" s="145"/>
    </row>
    <row r="1810" spans="37:43">
      <c r="AK1810" s="145"/>
      <c r="AL1810" s="145"/>
      <c r="AM1810" s="145"/>
      <c r="AN1810" s="145"/>
      <c r="AO1810" s="145"/>
      <c r="AP1810" s="145"/>
      <c r="AQ1810" s="145"/>
    </row>
    <row r="1811" spans="37:43">
      <c r="AK1811" s="145"/>
      <c r="AL1811" s="145"/>
      <c r="AM1811" s="145"/>
      <c r="AN1811" s="145"/>
      <c r="AO1811" s="145"/>
      <c r="AP1811" s="145"/>
      <c r="AQ1811" s="145"/>
    </row>
    <row r="1812" spans="37:43">
      <c r="AK1812" s="145"/>
      <c r="AL1812" s="145"/>
      <c r="AM1812" s="145"/>
      <c r="AN1812" s="145"/>
      <c r="AO1812" s="145"/>
      <c r="AP1812" s="145"/>
      <c r="AQ1812" s="145"/>
    </row>
    <row r="1813" spans="37:43">
      <c r="AK1813" s="145"/>
      <c r="AL1813" s="145"/>
      <c r="AM1813" s="145"/>
      <c r="AN1813" s="145"/>
      <c r="AO1813" s="145"/>
      <c r="AP1813" s="145"/>
      <c r="AQ1813" s="145"/>
    </row>
    <row r="1814" spans="37:43">
      <c r="AK1814" s="145"/>
      <c r="AL1814" s="145"/>
      <c r="AM1814" s="145"/>
      <c r="AN1814" s="145"/>
      <c r="AO1814" s="145"/>
      <c r="AP1814" s="145"/>
      <c r="AQ1814" s="145"/>
    </row>
    <row r="1815" spans="37:43">
      <c r="AK1815" s="145"/>
      <c r="AL1815" s="145"/>
      <c r="AM1815" s="145"/>
      <c r="AN1815" s="145"/>
      <c r="AO1815" s="145"/>
      <c r="AP1815" s="145"/>
      <c r="AQ1815" s="145"/>
    </row>
    <row r="1816" spans="37:43">
      <c r="AK1816" s="145"/>
      <c r="AL1816" s="145"/>
      <c r="AM1816" s="145"/>
      <c r="AN1816" s="145"/>
      <c r="AO1816" s="145"/>
      <c r="AP1816" s="145"/>
      <c r="AQ1816" s="145"/>
    </row>
    <row r="1817" spans="37:43">
      <c r="AK1817" s="145"/>
      <c r="AL1817" s="145"/>
      <c r="AM1817" s="145"/>
      <c r="AN1817" s="145"/>
      <c r="AO1817" s="145"/>
      <c r="AP1817" s="145"/>
      <c r="AQ1817" s="145"/>
    </row>
    <row r="1818" spans="37:43">
      <c r="AK1818" s="145"/>
      <c r="AL1818" s="145"/>
      <c r="AM1818" s="145"/>
      <c r="AN1818" s="145"/>
      <c r="AO1818" s="145"/>
      <c r="AP1818" s="145"/>
      <c r="AQ1818" s="145"/>
    </row>
    <row r="1819" spans="37:43">
      <c r="AK1819" s="145"/>
      <c r="AL1819" s="145"/>
      <c r="AM1819" s="145"/>
      <c r="AN1819" s="145"/>
      <c r="AO1819" s="145"/>
      <c r="AP1819" s="145"/>
      <c r="AQ1819" s="145"/>
    </row>
    <row r="1820" spans="37:43">
      <c r="AK1820" s="145"/>
      <c r="AL1820" s="145"/>
      <c r="AM1820" s="145"/>
      <c r="AN1820" s="145"/>
      <c r="AO1820" s="145"/>
      <c r="AP1820" s="145"/>
      <c r="AQ1820" s="145"/>
    </row>
    <row r="1821" spans="37:43">
      <c r="AK1821" s="145"/>
      <c r="AL1821" s="145"/>
      <c r="AM1821" s="145"/>
      <c r="AN1821" s="145"/>
      <c r="AO1821" s="145"/>
      <c r="AP1821" s="145"/>
      <c r="AQ1821" s="145"/>
    </row>
    <row r="1822" spans="37:43">
      <c r="AK1822" s="145"/>
      <c r="AL1822" s="145"/>
      <c r="AM1822" s="145"/>
      <c r="AN1822" s="145"/>
      <c r="AO1822" s="145"/>
      <c r="AP1822" s="145"/>
      <c r="AQ1822" s="145"/>
    </row>
    <row r="1823" spans="37:43">
      <c r="AK1823" s="145"/>
      <c r="AL1823" s="145"/>
      <c r="AM1823" s="145"/>
      <c r="AN1823" s="145"/>
      <c r="AO1823" s="145"/>
      <c r="AP1823" s="145"/>
      <c r="AQ1823" s="145"/>
    </row>
    <row r="1824" spans="37:43">
      <c r="AK1824" s="145"/>
      <c r="AL1824" s="145"/>
      <c r="AM1824" s="145"/>
      <c r="AN1824" s="145"/>
      <c r="AO1824" s="145"/>
      <c r="AP1824" s="145"/>
      <c r="AQ1824" s="145"/>
    </row>
    <row r="1825" spans="37:43">
      <c r="AK1825" s="145"/>
      <c r="AL1825" s="145"/>
      <c r="AM1825" s="145"/>
      <c r="AN1825" s="145"/>
      <c r="AO1825" s="145"/>
      <c r="AP1825" s="145"/>
      <c r="AQ1825" s="145"/>
    </row>
    <row r="1826" spans="37:43">
      <c r="AK1826" s="145"/>
      <c r="AL1826" s="145"/>
      <c r="AM1826" s="145"/>
      <c r="AN1826" s="145"/>
      <c r="AO1826" s="145"/>
      <c r="AP1826" s="145"/>
      <c r="AQ1826" s="145"/>
    </row>
    <row r="1827" spans="37:43">
      <c r="AK1827" s="145"/>
      <c r="AL1827" s="145"/>
      <c r="AM1827" s="145"/>
      <c r="AN1827" s="145"/>
      <c r="AO1827" s="145"/>
      <c r="AP1827" s="145"/>
      <c r="AQ1827" s="145"/>
    </row>
    <row r="1828" spans="37:43">
      <c r="AK1828" s="145"/>
      <c r="AL1828" s="145"/>
      <c r="AM1828" s="145"/>
      <c r="AN1828" s="145"/>
      <c r="AO1828" s="145"/>
      <c r="AP1828" s="145"/>
      <c r="AQ1828" s="145"/>
    </row>
    <row r="1829" spans="37:43">
      <c r="AK1829" s="145"/>
      <c r="AL1829" s="145"/>
      <c r="AM1829" s="145"/>
      <c r="AN1829" s="145"/>
      <c r="AO1829" s="145"/>
      <c r="AP1829" s="145"/>
      <c r="AQ1829" s="145"/>
    </row>
    <row r="1830" spans="37:43">
      <c r="AK1830" s="145"/>
      <c r="AL1830" s="145"/>
      <c r="AM1830" s="145"/>
      <c r="AN1830" s="145"/>
      <c r="AO1830" s="145"/>
      <c r="AP1830" s="145"/>
      <c r="AQ1830" s="145"/>
    </row>
    <row r="1831" spans="37:43">
      <c r="AK1831" s="145"/>
      <c r="AL1831" s="145"/>
      <c r="AM1831" s="145"/>
      <c r="AN1831" s="145"/>
      <c r="AO1831" s="145"/>
      <c r="AP1831" s="145"/>
      <c r="AQ1831" s="145"/>
    </row>
    <row r="1832" spans="37:43">
      <c r="AK1832" s="145"/>
      <c r="AL1832" s="145"/>
      <c r="AM1832" s="145"/>
      <c r="AN1832" s="145"/>
      <c r="AO1832" s="145"/>
      <c r="AP1832" s="145"/>
      <c r="AQ1832" s="145"/>
    </row>
    <row r="1833" spans="37:43">
      <c r="AK1833" s="145"/>
      <c r="AL1833" s="145"/>
      <c r="AM1833" s="145"/>
      <c r="AN1833" s="145"/>
      <c r="AO1833" s="145"/>
      <c r="AP1833" s="145"/>
      <c r="AQ1833" s="145"/>
    </row>
    <row r="1834" spans="37:43">
      <c r="AK1834" s="145"/>
      <c r="AL1834" s="145"/>
      <c r="AM1834" s="145"/>
      <c r="AN1834" s="145"/>
      <c r="AO1834" s="145"/>
      <c r="AP1834" s="145"/>
      <c r="AQ1834" s="145"/>
    </row>
    <row r="1835" spans="37:43">
      <c r="AK1835" s="145"/>
      <c r="AL1835" s="145"/>
      <c r="AM1835" s="145"/>
      <c r="AN1835" s="145"/>
      <c r="AO1835" s="145"/>
      <c r="AP1835" s="145"/>
      <c r="AQ1835" s="145"/>
    </row>
    <row r="1836" spans="37:43">
      <c r="AK1836" s="145"/>
      <c r="AL1836" s="145"/>
      <c r="AM1836" s="145"/>
      <c r="AN1836" s="145"/>
      <c r="AO1836" s="145"/>
      <c r="AP1836" s="145"/>
      <c r="AQ1836" s="145"/>
    </row>
    <row r="1837" spans="37:43">
      <c r="AK1837" s="145"/>
      <c r="AL1837" s="145"/>
      <c r="AM1837" s="145"/>
      <c r="AN1837" s="145"/>
      <c r="AO1837" s="145"/>
      <c r="AP1837" s="145"/>
      <c r="AQ1837" s="145"/>
    </row>
    <row r="1838" spans="37:43">
      <c r="AK1838" s="145"/>
      <c r="AL1838" s="145"/>
      <c r="AM1838" s="145"/>
      <c r="AN1838" s="145"/>
      <c r="AO1838" s="145"/>
      <c r="AP1838" s="145"/>
      <c r="AQ1838" s="145"/>
    </row>
    <row r="1839" spans="37:43">
      <c r="AK1839" s="145"/>
      <c r="AL1839" s="145"/>
      <c r="AM1839" s="145"/>
      <c r="AN1839" s="145"/>
      <c r="AO1839" s="145"/>
      <c r="AP1839" s="145"/>
      <c r="AQ1839" s="145"/>
    </row>
    <row r="1840" spans="37:43">
      <c r="AK1840" s="145"/>
      <c r="AL1840" s="145"/>
      <c r="AM1840" s="145"/>
      <c r="AN1840" s="145"/>
      <c r="AO1840" s="145"/>
      <c r="AP1840" s="145"/>
      <c r="AQ1840" s="145"/>
    </row>
    <row r="1841" spans="37:43">
      <c r="AK1841" s="145"/>
      <c r="AL1841" s="145"/>
      <c r="AM1841" s="145"/>
      <c r="AN1841" s="145"/>
      <c r="AO1841" s="145"/>
      <c r="AP1841" s="145"/>
      <c r="AQ1841" s="145"/>
    </row>
    <row r="1842" spans="37:43">
      <c r="AK1842" s="145"/>
      <c r="AL1842" s="145"/>
      <c r="AM1842" s="145"/>
      <c r="AN1842" s="145"/>
      <c r="AO1842" s="145"/>
      <c r="AP1842" s="145"/>
      <c r="AQ1842" s="145"/>
    </row>
    <row r="1843" spans="37:43">
      <c r="AK1843" s="145"/>
      <c r="AL1843" s="145"/>
      <c r="AM1843" s="145"/>
      <c r="AN1843" s="145"/>
      <c r="AO1843" s="145"/>
      <c r="AP1843" s="145"/>
      <c r="AQ1843" s="145"/>
    </row>
    <row r="1844" spans="37:43">
      <c r="AK1844" s="145"/>
      <c r="AL1844" s="145"/>
      <c r="AM1844" s="145"/>
      <c r="AN1844" s="145"/>
      <c r="AO1844" s="145"/>
      <c r="AP1844" s="145"/>
      <c r="AQ1844" s="145"/>
    </row>
    <row r="1845" spans="37:43">
      <c r="AK1845" s="145"/>
      <c r="AL1845" s="145"/>
      <c r="AM1845" s="145"/>
      <c r="AN1845" s="145"/>
      <c r="AO1845" s="145"/>
      <c r="AP1845" s="145"/>
      <c r="AQ1845" s="145"/>
    </row>
    <row r="1846" spans="37:43">
      <c r="AK1846" s="145"/>
      <c r="AL1846" s="145"/>
      <c r="AM1846" s="145"/>
      <c r="AN1846" s="145"/>
      <c r="AO1846" s="145"/>
      <c r="AP1846" s="145"/>
      <c r="AQ1846" s="145"/>
    </row>
    <row r="1847" spans="37:43">
      <c r="AK1847" s="145"/>
      <c r="AL1847" s="145"/>
      <c r="AM1847" s="145"/>
      <c r="AN1847" s="145"/>
      <c r="AO1847" s="145"/>
      <c r="AP1847" s="145"/>
      <c r="AQ1847" s="145"/>
    </row>
    <row r="1848" spans="37:43">
      <c r="AK1848" s="145"/>
      <c r="AL1848" s="145"/>
      <c r="AM1848" s="145"/>
      <c r="AN1848" s="145"/>
      <c r="AO1848" s="145"/>
      <c r="AP1848" s="145"/>
      <c r="AQ1848" s="145"/>
    </row>
    <row r="1849" spans="37:43">
      <c r="AK1849" s="145"/>
      <c r="AL1849" s="145"/>
      <c r="AM1849" s="145"/>
      <c r="AN1849" s="145"/>
      <c r="AO1849" s="145"/>
      <c r="AP1849" s="145"/>
      <c r="AQ1849" s="145"/>
    </row>
    <row r="1850" spans="37:43">
      <c r="AK1850" s="145"/>
      <c r="AL1850" s="145"/>
      <c r="AM1850" s="145"/>
      <c r="AN1850" s="145"/>
      <c r="AO1850" s="145"/>
      <c r="AP1850" s="145"/>
      <c r="AQ1850" s="145"/>
    </row>
    <row r="1851" spans="37:43">
      <c r="AK1851" s="145"/>
      <c r="AL1851" s="145"/>
      <c r="AM1851" s="145"/>
      <c r="AN1851" s="145"/>
      <c r="AO1851" s="145"/>
      <c r="AP1851" s="145"/>
      <c r="AQ1851" s="145"/>
    </row>
    <row r="1852" spans="37:43">
      <c r="AK1852" s="145"/>
      <c r="AL1852" s="145"/>
      <c r="AM1852" s="145"/>
      <c r="AN1852" s="145"/>
      <c r="AO1852" s="145"/>
      <c r="AP1852" s="145"/>
      <c r="AQ1852" s="145"/>
    </row>
    <row r="1853" spans="37:43">
      <c r="AK1853" s="145"/>
      <c r="AL1853" s="145"/>
      <c r="AM1853" s="145"/>
      <c r="AN1853" s="145"/>
      <c r="AO1853" s="145"/>
      <c r="AP1853" s="145"/>
      <c r="AQ1853" s="145"/>
    </row>
    <row r="1854" spans="37:43">
      <c r="AK1854" s="145"/>
      <c r="AL1854" s="145"/>
      <c r="AM1854" s="145"/>
      <c r="AN1854" s="145"/>
      <c r="AO1854" s="145"/>
      <c r="AP1854" s="145"/>
      <c r="AQ1854" s="145"/>
    </row>
    <row r="1855" spans="37:43">
      <c r="AK1855" s="145"/>
      <c r="AL1855" s="145"/>
      <c r="AM1855" s="145"/>
      <c r="AN1855" s="145"/>
      <c r="AO1855" s="145"/>
      <c r="AP1855" s="145"/>
      <c r="AQ1855" s="145"/>
    </row>
    <row r="1856" spans="37:43">
      <c r="AK1856" s="145"/>
      <c r="AL1856" s="145"/>
      <c r="AM1856" s="145"/>
      <c r="AN1856" s="145"/>
      <c r="AO1856" s="145"/>
      <c r="AP1856" s="145"/>
      <c r="AQ1856" s="145"/>
    </row>
    <row r="1857" spans="37:43">
      <c r="AK1857" s="145"/>
      <c r="AL1857" s="145"/>
      <c r="AM1857" s="145"/>
      <c r="AN1857" s="145"/>
      <c r="AO1857" s="145"/>
      <c r="AP1857" s="145"/>
      <c r="AQ1857" s="145"/>
    </row>
    <row r="1858" spans="37:43">
      <c r="AK1858" s="145"/>
      <c r="AL1858" s="145"/>
      <c r="AM1858" s="145"/>
      <c r="AN1858" s="145"/>
      <c r="AO1858" s="145"/>
      <c r="AP1858" s="145"/>
      <c r="AQ1858" s="145"/>
    </row>
    <row r="1859" spans="37:43">
      <c r="AK1859" s="145"/>
      <c r="AL1859" s="145"/>
      <c r="AM1859" s="145"/>
      <c r="AN1859" s="145"/>
      <c r="AO1859" s="145"/>
      <c r="AP1859" s="145"/>
      <c r="AQ1859" s="145"/>
    </row>
    <row r="1860" spans="37:43">
      <c r="AK1860" s="145"/>
      <c r="AL1860" s="145"/>
      <c r="AM1860" s="145"/>
      <c r="AN1860" s="145"/>
      <c r="AO1860" s="145"/>
      <c r="AP1860" s="145"/>
      <c r="AQ1860" s="145"/>
    </row>
    <row r="1861" spans="37:43">
      <c r="AK1861" s="145"/>
      <c r="AL1861" s="145"/>
      <c r="AM1861" s="145"/>
      <c r="AN1861" s="145"/>
      <c r="AO1861" s="145"/>
      <c r="AP1861" s="145"/>
      <c r="AQ1861" s="145"/>
    </row>
    <row r="1862" spans="37:43">
      <c r="AK1862" s="145"/>
      <c r="AL1862" s="145"/>
      <c r="AM1862" s="145"/>
      <c r="AN1862" s="145"/>
      <c r="AO1862" s="145"/>
      <c r="AP1862" s="145"/>
      <c r="AQ1862" s="145"/>
    </row>
    <row r="1863" spans="37:43">
      <c r="AK1863" s="145"/>
      <c r="AL1863" s="145"/>
      <c r="AM1863" s="145"/>
      <c r="AN1863" s="145"/>
      <c r="AO1863" s="145"/>
      <c r="AP1863" s="145"/>
      <c r="AQ1863" s="145"/>
    </row>
    <row r="1864" spans="37:43">
      <c r="AK1864" s="145"/>
      <c r="AL1864" s="145"/>
      <c r="AM1864" s="145"/>
      <c r="AN1864" s="145"/>
      <c r="AO1864" s="145"/>
      <c r="AP1864" s="145"/>
      <c r="AQ1864" s="145"/>
    </row>
    <row r="1865" spans="37:43">
      <c r="AK1865" s="145"/>
      <c r="AL1865" s="145"/>
      <c r="AM1865" s="145"/>
      <c r="AN1865" s="145"/>
      <c r="AO1865" s="145"/>
      <c r="AP1865" s="145"/>
      <c r="AQ1865" s="145"/>
    </row>
    <row r="1866" spans="37:43">
      <c r="AK1866" s="145"/>
      <c r="AL1866" s="145"/>
      <c r="AM1866" s="145"/>
      <c r="AN1866" s="145"/>
      <c r="AO1866" s="145"/>
      <c r="AP1866" s="145"/>
      <c r="AQ1866" s="145"/>
    </row>
    <row r="1867" spans="37:43">
      <c r="AK1867" s="145"/>
      <c r="AL1867" s="145"/>
      <c r="AM1867" s="145"/>
      <c r="AN1867" s="145"/>
      <c r="AO1867" s="145"/>
      <c r="AP1867" s="145"/>
      <c r="AQ1867" s="145"/>
    </row>
    <row r="1868" spans="37:43">
      <c r="AK1868" s="145"/>
      <c r="AL1868" s="145"/>
      <c r="AM1868" s="145"/>
      <c r="AN1868" s="145"/>
      <c r="AO1868" s="145"/>
      <c r="AP1868" s="145"/>
      <c r="AQ1868" s="145"/>
    </row>
    <row r="1869" spans="37:43">
      <c r="AK1869" s="145"/>
      <c r="AL1869" s="145"/>
      <c r="AM1869" s="145"/>
      <c r="AN1869" s="145"/>
      <c r="AO1869" s="145"/>
      <c r="AP1869" s="145"/>
      <c r="AQ1869" s="145"/>
    </row>
    <row r="1870" spans="37:43">
      <c r="AK1870" s="145"/>
      <c r="AL1870" s="145"/>
      <c r="AM1870" s="145"/>
      <c r="AN1870" s="145"/>
      <c r="AO1870" s="145"/>
      <c r="AP1870" s="145"/>
      <c r="AQ1870" s="145"/>
    </row>
    <row r="1871" spans="37:43">
      <c r="AK1871" s="145"/>
      <c r="AL1871" s="145"/>
      <c r="AM1871" s="145"/>
      <c r="AN1871" s="145"/>
      <c r="AO1871" s="145"/>
      <c r="AP1871" s="145"/>
      <c r="AQ1871" s="145"/>
    </row>
    <row r="1872" spans="37:43">
      <c r="AK1872" s="145"/>
      <c r="AL1872" s="145"/>
      <c r="AM1872" s="145"/>
      <c r="AN1872" s="145"/>
      <c r="AO1872" s="145"/>
      <c r="AP1872" s="145"/>
      <c r="AQ1872" s="145"/>
    </row>
    <row r="1873" spans="37:43">
      <c r="AK1873" s="145"/>
      <c r="AL1873" s="145"/>
      <c r="AM1873" s="145"/>
      <c r="AN1873" s="145"/>
      <c r="AO1873" s="145"/>
      <c r="AP1873" s="145"/>
      <c r="AQ1873" s="145"/>
    </row>
    <row r="1874" spans="37:43">
      <c r="AK1874" s="145"/>
      <c r="AL1874" s="145"/>
      <c r="AM1874" s="145"/>
      <c r="AN1874" s="145"/>
      <c r="AO1874" s="145"/>
      <c r="AP1874" s="145"/>
      <c r="AQ1874" s="145"/>
    </row>
    <row r="1875" spans="37:43">
      <c r="AK1875" s="145"/>
      <c r="AL1875" s="145"/>
      <c r="AM1875" s="145"/>
      <c r="AN1875" s="145"/>
      <c r="AO1875" s="145"/>
      <c r="AP1875" s="145"/>
      <c r="AQ1875" s="145"/>
    </row>
    <row r="1876" spans="37:43">
      <c r="AK1876" s="145"/>
      <c r="AL1876" s="145"/>
      <c r="AM1876" s="145"/>
      <c r="AN1876" s="145"/>
      <c r="AO1876" s="145"/>
      <c r="AP1876" s="145"/>
      <c r="AQ1876" s="145"/>
    </row>
    <row r="1877" spans="37:43">
      <c r="AK1877" s="145"/>
      <c r="AL1877" s="145"/>
      <c r="AM1877" s="145"/>
      <c r="AN1877" s="145"/>
      <c r="AO1877" s="145"/>
      <c r="AP1877" s="145"/>
      <c r="AQ1877" s="145"/>
    </row>
    <row r="1878" spans="37:43">
      <c r="AK1878" s="145"/>
      <c r="AL1878" s="145"/>
      <c r="AM1878" s="145"/>
      <c r="AN1878" s="145"/>
      <c r="AO1878" s="145"/>
      <c r="AP1878" s="145"/>
      <c r="AQ1878" s="145"/>
    </row>
    <row r="1879" spans="37:43">
      <c r="AK1879" s="145"/>
      <c r="AL1879" s="145"/>
      <c r="AM1879" s="145"/>
      <c r="AN1879" s="145"/>
      <c r="AO1879" s="145"/>
      <c r="AP1879" s="145"/>
      <c r="AQ1879" s="145"/>
    </row>
    <row r="1880" spans="37:43">
      <c r="AK1880" s="145"/>
      <c r="AL1880" s="145"/>
      <c r="AM1880" s="145"/>
      <c r="AN1880" s="145"/>
      <c r="AO1880" s="145"/>
      <c r="AP1880" s="145"/>
      <c r="AQ1880" s="145"/>
    </row>
    <row r="1881" spans="37:43">
      <c r="AK1881" s="145"/>
      <c r="AL1881" s="145"/>
      <c r="AM1881" s="145"/>
      <c r="AN1881" s="145"/>
      <c r="AO1881" s="145"/>
      <c r="AP1881" s="145"/>
      <c r="AQ1881" s="145"/>
    </row>
    <row r="1882" spans="37:43">
      <c r="AK1882" s="145"/>
      <c r="AL1882" s="145"/>
      <c r="AM1882" s="145"/>
      <c r="AN1882" s="145"/>
      <c r="AO1882" s="145"/>
      <c r="AP1882" s="145"/>
      <c r="AQ1882" s="145"/>
    </row>
    <row r="1883" spans="37:43">
      <c r="AK1883" s="145"/>
      <c r="AL1883" s="145"/>
      <c r="AM1883" s="145"/>
      <c r="AN1883" s="145"/>
      <c r="AO1883" s="145"/>
      <c r="AP1883" s="145"/>
      <c r="AQ1883" s="145"/>
    </row>
    <row r="1884" spans="37:43">
      <c r="AK1884" s="145"/>
      <c r="AL1884" s="145"/>
      <c r="AM1884" s="145"/>
      <c r="AN1884" s="145"/>
      <c r="AO1884" s="145"/>
      <c r="AP1884" s="145"/>
      <c r="AQ1884" s="145"/>
    </row>
    <row r="1885" spans="37:43">
      <c r="AK1885" s="145"/>
      <c r="AL1885" s="145"/>
      <c r="AM1885" s="145"/>
      <c r="AN1885" s="145"/>
      <c r="AO1885" s="145"/>
      <c r="AP1885" s="145"/>
      <c r="AQ1885" s="145"/>
    </row>
    <row r="1886" spans="37:43">
      <c r="AK1886" s="145"/>
      <c r="AL1886" s="145"/>
      <c r="AM1886" s="145"/>
      <c r="AN1886" s="145"/>
      <c r="AO1886" s="145"/>
      <c r="AP1886" s="145"/>
      <c r="AQ1886" s="145"/>
    </row>
    <row r="1887" spans="37:43">
      <c r="AK1887" s="145"/>
      <c r="AL1887" s="145"/>
      <c r="AM1887" s="145"/>
      <c r="AN1887" s="145"/>
      <c r="AO1887" s="145"/>
      <c r="AP1887" s="145"/>
      <c r="AQ1887" s="145"/>
    </row>
    <row r="1888" spans="37:43">
      <c r="AK1888" s="145"/>
      <c r="AL1888" s="145"/>
      <c r="AM1888" s="145"/>
      <c r="AN1888" s="145"/>
      <c r="AO1888" s="145"/>
      <c r="AP1888" s="145"/>
      <c r="AQ1888" s="145"/>
    </row>
    <row r="1889" spans="37:43">
      <c r="AK1889" s="145"/>
      <c r="AL1889" s="145"/>
      <c r="AM1889" s="145"/>
      <c r="AN1889" s="145"/>
      <c r="AO1889" s="145"/>
      <c r="AP1889" s="145"/>
      <c r="AQ1889" s="145"/>
    </row>
    <row r="1890" spans="37:43">
      <c r="AK1890" s="145"/>
      <c r="AL1890" s="145"/>
      <c r="AM1890" s="145"/>
      <c r="AN1890" s="145"/>
      <c r="AO1890" s="145"/>
      <c r="AP1890" s="145"/>
      <c r="AQ1890" s="145"/>
    </row>
    <row r="1891" spans="37:43">
      <c r="AK1891" s="145"/>
      <c r="AL1891" s="145"/>
      <c r="AM1891" s="145"/>
      <c r="AN1891" s="145"/>
      <c r="AO1891" s="145"/>
      <c r="AP1891" s="145"/>
      <c r="AQ1891" s="145"/>
    </row>
    <row r="1892" spans="37:43">
      <c r="AK1892" s="145"/>
      <c r="AL1892" s="145"/>
      <c r="AM1892" s="145"/>
      <c r="AN1892" s="145"/>
      <c r="AO1892" s="145"/>
      <c r="AP1892" s="145"/>
      <c r="AQ1892" s="145"/>
    </row>
    <row r="1893" spans="37:43">
      <c r="AK1893" s="145"/>
      <c r="AL1893" s="145"/>
      <c r="AM1893" s="145"/>
      <c r="AN1893" s="145"/>
      <c r="AO1893" s="145"/>
      <c r="AP1893" s="145"/>
      <c r="AQ1893" s="145"/>
    </row>
    <row r="1894" spans="37:43">
      <c r="AK1894" s="145"/>
      <c r="AL1894" s="145"/>
      <c r="AM1894" s="145"/>
      <c r="AN1894" s="145"/>
      <c r="AO1894" s="145"/>
      <c r="AP1894" s="145"/>
      <c r="AQ1894" s="145"/>
    </row>
    <row r="1895" spans="37:43">
      <c r="AK1895" s="145"/>
      <c r="AL1895" s="145"/>
      <c r="AM1895" s="145"/>
      <c r="AN1895" s="145"/>
      <c r="AO1895" s="145"/>
      <c r="AP1895" s="145"/>
      <c r="AQ1895" s="145"/>
    </row>
    <row r="1896" spans="37:43">
      <c r="AK1896" s="145"/>
      <c r="AL1896" s="145"/>
      <c r="AM1896" s="145"/>
      <c r="AN1896" s="145"/>
      <c r="AO1896" s="145"/>
      <c r="AP1896" s="145"/>
      <c r="AQ1896" s="145"/>
    </row>
    <row r="1897" spans="37:43">
      <c r="AK1897" s="145"/>
      <c r="AL1897" s="145"/>
      <c r="AM1897" s="145"/>
      <c r="AN1897" s="145"/>
      <c r="AO1897" s="145"/>
      <c r="AP1897" s="145"/>
      <c r="AQ1897" s="145"/>
    </row>
    <row r="1898" spans="37:43">
      <c r="AK1898" s="145"/>
      <c r="AL1898" s="145"/>
      <c r="AM1898" s="145"/>
      <c r="AN1898" s="145"/>
      <c r="AO1898" s="145"/>
      <c r="AP1898" s="145"/>
      <c r="AQ1898" s="145"/>
    </row>
    <row r="1899" spans="37:43">
      <c r="AK1899" s="145"/>
      <c r="AL1899" s="145"/>
      <c r="AM1899" s="145"/>
      <c r="AN1899" s="145"/>
      <c r="AO1899" s="145"/>
      <c r="AP1899" s="145"/>
      <c r="AQ1899" s="145"/>
    </row>
    <row r="1900" spans="37:43">
      <c r="AK1900" s="145"/>
      <c r="AL1900" s="145"/>
      <c r="AM1900" s="145"/>
      <c r="AN1900" s="145"/>
      <c r="AO1900" s="145"/>
      <c r="AP1900" s="145"/>
      <c r="AQ1900" s="145"/>
    </row>
    <row r="1901" spans="37:43">
      <c r="AK1901" s="145"/>
      <c r="AL1901" s="145"/>
      <c r="AM1901" s="145"/>
      <c r="AN1901" s="145"/>
      <c r="AO1901" s="145"/>
      <c r="AP1901" s="145"/>
      <c r="AQ1901" s="145"/>
    </row>
    <row r="1902" spans="37:43">
      <c r="AK1902" s="145"/>
      <c r="AL1902" s="145"/>
      <c r="AM1902" s="145"/>
      <c r="AN1902" s="145"/>
      <c r="AO1902" s="145"/>
      <c r="AP1902" s="145"/>
      <c r="AQ1902" s="145"/>
    </row>
    <row r="1903" spans="37:43">
      <c r="AK1903" s="145"/>
      <c r="AL1903" s="145"/>
      <c r="AM1903" s="145"/>
      <c r="AN1903" s="145"/>
      <c r="AO1903" s="145"/>
      <c r="AP1903" s="145"/>
      <c r="AQ1903" s="145"/>
    </row>
    <row r="1904" spans="37:43">
      <c r="AK1904" s="145"/>
      <c r="AL1904" s="145"/>
      <c r="AM1904" s="145"/>
      <c r="AN1904" s="145"/>
      <c r="AO1904" s="145"/>
      <c r="AP1904" s="145"/>
      <c r="AQ1904" s="145"/>
    </row>
    <row r="1905" spans="37:43">
      <c r="AK1905" s="145"/>
      <c r="AL1905" s="145"/>
      <c r="AM1905" s="145"/>
      <c r="AN1905" s="145"/>
      <c r="AO1905" s="145"/>
      <c r="AP1905" s="145"/>
      <c r="AQ1905" s="145"/>
    </row>
    <row r="1906" spans="37:43">
      <c r="AK1906" s="145"/>
      <c r="AL1906" s="145"/>
      <c r="AM1906" s="145"/>
      <c r="AN1906" s="145"/>
      <c r="AO1906" s="145"/>
      <c r="AP1906" s="145"/>
      <c r="AQ1906" s="145"/>
    </row>
    <row r="1907" spans="37:43">
      <c r="AK1907" s="145"/>
      <c r="AL1907" s="145"/>
      <c r="AM1907" s="145"/>
      <c r="AN1907" s="145"/>
      <c r="AO1907" s="145"/>
      <c r="AP1907" s="145"/>
      <c r="AQ1907" s="145"/>
    </row>
    <row r="1908" spans="37:43">
      <c r="AK1908" s="145"/>
      <c r="AL1908" s="145"/>
      <c r="AM1908" s="145"/>
      <c r="AN1908" s="145"/>
      <c r="AO1908" s="145"/>
      <c r="AP1908" s="145"/>
      <c r="AQ1908" s="145"/>
    </row>
    <row r="1909" spans="37:43">
      <c r="AK1909" s="145"/>
      <c r="AL1909" s="145"/>
      <c r="AM1909" s="145"/>
      <c r="AN1909" s="145"/>
      <c r="AO1909" s="145"/>
      <c r="AP1909" s="145"/>
      <c r="AQ1909" s="145"/>
    </row>
    <row r="1910" spans="37:43">
      <c r="AK1910" s="145"/>
      <c r="AL1910" s="145"/>
      <c r="AM1910" s="145"/>
      <c r="AN1910" s="145"/>
      <c r="AO1910" s="145"/>
      <c r="AP1910" s="145"/>
      <c r="AQ1910" s="145"/>
    </row>
    <row r="1911" spans="37:43">
      <c r="AK1911" s="145"/>
      <c r="AL1911" s="145"/>
      <c r="AM1911" s="145"/>
      <c r="AN1911" s="145"/>
      <c r="AO1911" s="145"/>
      <c r="AP1911" s="145"/>
      <c r="AQ1911" s="145"/>
    </row>
    <row r="1912" spans="37:43">
      <c r="AK1912" s="145"/>
      <c r="AL1912" s="145"/>
      <c r="AM1912" s="145"/>
      <c r="AN1912" s="145"/>
      <c r="AO1912" s="145"/>
      <c r="AP1912" s="145"/>
      <c r="AQ1912" s="145"/>
    </row>
    <row r="1913" spans="37:43">
      <c r="AK1913" s="145"/>
      <c r="AL1913" s="145"/>
      <c r="AM1913" s="145"/>
      <c r="AN1913" s="145"/>
      <c r="AO1913" s="145"/>
      <c r="AP1913" s="145"/>
      <c r="AQ1913" s="145"/>
    </row>
    <row r="1914" spans="37:43">
      <c r="AK1914" s="145"/>
      <c r="AL1914" s="145"/>
      <c r="AM1914" s="145"/>
      <c r="AN1914" s="145"/>
      <c r="AO1914" s="145"/>
      <c r="AP1914" s="145"/>
      <c r="AQ1914" s="145"/>
    </row>
    <row r="1915" spans="37:43">
      <c r="AK1915" s="145"/>
      <c r="AL1915" s="145"/>
      <c r="AM1915" s="145"/>
      <c r="AN1915" s="145"/>
      <c r="AO1915" s="145"/>
      <c r="AP1915" s="145"/>
      <c r="AQ1915" s="145"/>
    </row>
    <row r="1916" spans="37:43">
      <c r="AK1916" s="145"/>
      <c r="AL1916" s="145"/>
      <c r="AM1916" s="145"/>
      <c r="AN1916" s="145"/>
      <c r="AO1916" s="145"/>
      <c r="AP1916" s="145"/>
      <c r="AQ1916" s="145"/>
    </row>
    <row r="1917" spans="37:43">
      <c r="AK1917" s="145"/>
      <c r="AL1917" s="145"/>
      <c r="AM1917" s="145"/>
      <c r="AN1917" s="145"/>
      <c r="AO1917" s="145"/>
      <c r="AP1917" s="145"/>
      <c r="AQ1917" s="145"/>
    </row>
    <row r="1918" spans="37:43">
      <c r="AK1918" s="145"/>
      <c r="AL1918" s="145"/>
      <c r="AM1918" s="145"/>
      <c r="AN1918" s="145"/>
      <c r="AO1918" s="145"/>
      <c r="AP1918" s="145"/>
      <c r="AQ1918" s="145"/>
    </row>
    <row r="1919" spans="37:43">
      <c r="AK1919" s="145"/>
      <c r="AL1919" s="145"/>
      <c r="AM1919" s="145"/>
      <c r="AN1919" s="145"/>
      <c r="AO1919" s="145"/>
      <c r="AP1919" s="145"/>
      <c r="AQ1919" s="145"/>
    </row>
    <row r="1920" spans="37:43">
      <c r="AK1920" s="145"/>
      <c r="AL1920" s="145"/>
      <c r="AM1920" s="145"/>
      <c r="AN1920" s="145"/>
      <c r="AO1920" s="145"/>
      <c r="AP1920" s="145"/>
      <c r="AQ1920" s="145"/>
    </row>
    <row r="1921" spans="37:43">
      <c r="AK1921" s="145"/>
      <c r="AL1921" s="145"/>
      <c r="AM1921" s="145"/>
      <c r="AN1921" s="145"/>
      <c r="AO1921" s="145"/>
      <c r="AP1921" s="145"/>
      <c r="AQ1921" s="145"/>
    </row>
    <row r="1922" spans="37:43">
      <c r="AK1922" s="145"/>
      <c r="AL1922" s="145"/>
      <c r="AM1922" s="145"/>
      <c r="AN1922" s="145"/>
      <c r="AO1922" s="145"/>
      <c r="AP1922" s="145"/>
      <c r="AQ1922" s="145"/>
    </row>
    <row r="1923" spans="37:43">
      <c r="AK1923" s="145"/>
      <c r="AL1923" s="145"/>
      <c r="AM1923" s="145"/>
      <c r="AN1923" s="145"/>
      <c r="AO1923" s="145"/>
      <c r="AP1923" s="145"/>
      <c r="AQ1923" s="145"/>
    </row>
    <row r="1924" spans="37:43">
      <c r="AK1924" s="145"/>
      <c r="AL1924" s="145"/>
      <c r="AM1924" s="145"/>
      <c r="AN1924" s="145"/>
      <c r="AO1924" s="145"/>
      <c r="AP1924" s="145"/>
      <c r="AQ1924" s="145"/>
    </row>
    <row r="1925" spans="37:43">
      <c r="AK1925" s="145"/>
      <c r="AL1925" s="145"/>
      <c r="AM1925" s="145"/>
      <c r="AN1925" s="145"/>
      <c r="AO1925" s="145"/>
      <c r="AP1925" s="145"/>
      <c r="AQ1925" s="145"/>
    </row>
    <row r="1926" spans="37:43">
      <c r="AK1926" s="145"/>
      <c r="AL1926" s="145"/>
      <c r="AM1926" s="145"/>
      <c r="AN1926" s="145"/>
      <c r="AO1926" s="145"/>
      <c r="AP1926" s="145"/>
      <c r="AQ1926" s="145"/>
    </row>
    <row r="1927" spans="37:43">
      <c r="AK1927" s="145"/>
      <c r="AL1927" s="145"/>
      <c r="AM1927" s="145"/>
      <c r="AN1927" s="145"/>
      <c r="AO1927" s="145"/>
      <c r="AP1927" s="145"/>
      <c r="AQ1927" s="145"/>
    </row>
    <row r="1928" spans="37:43">
      <c r="AK1928" s="145"/>
      <c r="AL1928" s="145"/>
      <c r="AM1928" s="145"/>
      <c r="AN1928" s="145"/>
      <c r="AO1928" s="145"/>
      <c r="AP1928" s="145"/>
      <c r="AQ1928" s="145"/>
    </row>
    <row r="1929" spans="37:43">
      <c r="AK1929" s="145"/>
      <c r="AL1929" s="145"/>
      <c r="AM1929" s="145"/>
      <c r="AN1929" s="145"/>
      <c r="AO1929" s="145"/>
      <c r="AP1929" s="145"/>
      <c r="AQ1929" s="145"/>
    </row>
    <row r="1930" spans="37:43">
      <c r="AK1930" s="145"/>
      <c r="AL1930" s="145"/>
      <c r="AM1930" s="145"/>
      <c r="AN1930" s="145"/>
      <c r="AO1930" s="145"/>
      <c r="AP1930" s="145"/>
      <c r="AQ1930" s="145"/>
    </row>
    <row r="1931" spans="37:43">
      <c r="AK1931" s="145"/>
      <c r="AL1931" s="145"/>
      <c r="AM1931" s="145"/>
      <c r="AN1931" s="145"/>
      <c r="AO1931" s="145"/>
      <c r="AP1931" s="145"/>
      <c r="AQ1931" s="145"/>
    </row>
    <row r="1932" spans="37:43">
      <c r="AK1932" s="145"/>
      <c r="AL1932" s="145"/>
      <c r="AM1932" s="145"/>
      <c r="AN1932" s="145"/>
      <c r="AO1932" s="145"/>
      <c r="AP1932" s="145"/>
      <c r="AQ1932" s="145"/>
    </row>
    <row r="1933" spans="37:43">
      <c r="AK1933" s="145"/>
      <c r="AL1933" s="145"/>
      <c r="AM1933" s="145"/>
      <c r="AN1933" s="145"/>
      <c r="AO1933" s="145"/>
      <c r="AP1933" s="145"/>
      <c r="AQ1933" s="145"/>
    </row>
    <row r="1934" spans="37:43">
      <c r="AK1934" s="145"/>
      <c r="AL1934" s="145"/>
      <c r="AM1934" s="145"/>
      <c r="AN1934" s="145"/>
      <c r="AO1934" s="145"/>
      <c r="AP1934" s="145"/>
      <c r="AQ1934" s="145"/>
    </row>
    <row r="1935" spans="37:43">
      <c r="AK1935" s="145"/>
      <c r="AL1935" s="145"/>
      <c r="AM1935" s="145"/>
      <c r="AN1935" s="145"/>
      <c r="AO1935" s="145"/>
      <c r="AP1935" s="145"/>
      <c r="AQ1935" s="145"/>
    </row>
    <row r="1936" spans="37:43">
      <c r="AK1936" s="145"/>
      <c r="AL1936" s="145"/>
      <c r="AM1936" s="145"/>
      <c r="AN1936" s="145"/>
      <c r="AO1936" s="145"/>
      <c r="AP1936" s="145"/>
      <c r="AQ1936" s="145"/>
    </row>
    <row r="1937" spans="37:43">
      <c r="AK1937" s="145"/>
      <c r="AL1937" s="145"/>
      <c r="AM1937" s="145"/>
      <c r="AN1937" s="145"/>
      <c r="AO1937" s="145"/>
      <c r="AP1937" s="145"/>
      <c r="AQ1937" s="145"/>
    </row>
    <row r="1938" spans="37:43">
      <c r="AK1938" s="145"/>
      <c r="AL1938" s="145"/>
      <c r="AM1938" s="145"/>
      <c r="AN1938" s="145"/>
      <c r="AO1938" s="145"/>
      <c r="AP1938" s="145"/>
      <c r="AQ1938" s="145"/>
    </row>
    <row r="1939" spans="37:43">
      <c r="AK1939" s="145"/>
      <c r="AL1939" s="145"/>
      <c r="AM1939" s="145"/>
      <c r="AN1939" s="145"/>
      <c r="AO1939" s="145"/>
      <c r="AP1939" s="145"/>
      <c r="AQ1939" s="145"/>
    </row>
    <row r="1940" spans="37:43">
      <c r="AK1940" s="145"/>
      <c r="AL1940" s="145"/>
      <c r="AM1940" s="145"/>
      <c r="AN1940" s="145"/>
      <c r="AO1940" s="145"/>
      <c r="AP1940" s="145"/>
      <c r="AQ1940" s="145"/>
    </row>
    <row r="1941" spans="37:43">
      <c r="AK1941" s="145"/>
      <c r="AL1941" s="145"/>
      <c r="AM1941" s="145"/>
      <c r="AN1941" s="145"/>
      <c r="AO1941" s="145"/>
      <c r="AP1941" s="145"/>
      <c r="AQ1941" s="145"/>
    </row>
    <row r="1942" spans="37:43">
      <c r="AK1942" s="145"/>
      <c r="AL1942" s="145"/>
      <c r="AM1942" s="145"/>
      <c r="AN1942" s="145"/>
      <c r="AO1942" s="145"/>
      <c r="AP1942" s="145"/>
      <c r="AQ1942" s="145"/>
    </row>
    <row r="1943" spans="37:43">
      <c r="AK1943" s="145"/>
      <c r="AL1943" s="145"/>
      <c r="AM1943" s="145"/>
      <c r="AN1943" s="145"/>
      <c r="AO1943" s="145"/>
      <c r="AP1943" s="145"/>
      <c r="AQ1943" s="145"/>
    </row>
    <row r="1944" spans="37:43">
      <c r="AK1944" s="145"/>
      <c r="AL1944" s="145"/>
      <c r="AM1944" s="145"/>
      <c r="AN1944" s="145"/>
      <c r="AO1944" s="145"/>
      <c r="AP1944" s="145"/>
      <c r="AQ1944" s="145"/>
    </row>
    <row r="1945" spans="37:43">
      <c r="AK1945" s="145"/>
      <c r="AL1945" s="145"/>
      <c r="AM1945" s="145"/>
      <c r="AN1945" s="145"/>
      <c r="AO1945" s="145"/>
      <c r="AP1945" s="145"/>
      <c r="AQ1945" s="145"/>
    </row>
    <row r="1946" spans="37:43">
      <c r="AK1946" s="145"/>
      <c r="AL1946" s="145"/>
      <c r="AM1946" s="145"/>
      <c r="AN1946" s="145"/>
      <c r="AO1946" s="145"/>
      <c r="AP1946" s="145"/>
      <c r="AQ1946" s="145"/>
    </row>
    <row r="1947" spans="37:43">
      <c r="AK1947" s="145"/>
      <c r="AL1947" s="145"/>
      <c r="AM1947" s="145"/>
      <c r="AN1947" s="145"/>
      <c r="AO1947" s="145"/>
      <c r="AP1947" s="145"/>
      <c r="AQ1947" s="145"/>
    </row>
    <row r="1948" spans="37:43">
      <c r="AK1948" s="145"/>
      <c r="AL1948" s="145"/>
      <c r="AM1948" s="145"/>
      <c r="AN1948" s="145"/>
      <c r="AO1948" s="145"/>
      <c r="AP1948" s="145"/>
      <c r="AQ1948" s="145"/>
    </row>
    <row r="1949" spans="37:43">
      <c r="AK1949" s="145"/>
      <c r="AL1949" s="145"/>
      <c r="AM1949" s="145"/>
      <c r="AN1949" s="145"/>
      <c r="AO1949" s="145"/>
      <c r="AP1949" s="145"/>
      <c r="AQ1949" s="145"/>
    </row>
    <row r="1950" spans="37:43">
      <c r="AK1950" s="145"/>
      <c r="AL1950" s="145"/>
      <c r="AM1950" s="145"/>
      <c r="AN1950" s="145"/>
      <c r="AO1950" s="145"/>
      <c r="AP1950" s="145"/>
      <c r="AQ1950" s="145"/>
    </row>
    <row r="1951" spans="37:43">
      <c r="AK1951" s="145"/>
      <c r="AL1951" s="145"/>
      <c r="AM1951" s="145"/>
      <c r="AN1951" s="145"/>
      <c r="AO1951" s="145"/>
      <c r="AP1951" s="145"/>
      <c r="AQ1951" s="145"/>
    </row>
    <row r="1952" spans="37:43">
      <c r="AK1952" s="145"/>
      <c r="AL1952" s="145"/>
      <c r="AM1952" s="145"/>
      <c r="AN1952" s="145"/>
      <c r="AO1952" s="145"/>
      <c r="AP1952" s="145"/>
      <c r="AQ1952" s="145"/>
    </row>
    <row r="1953" spans="37:43">
      <c r="AK1953" s="145"/>
      <c r="AL1953" s="145"/>
      <c r="AM1953" s="145"/>
      <c r="AN1953" s="145"/>
      <c r="AO1953" s="145"/>
      <c r="AP1953" s="145"/>
      <c r="AQ1953" s="145"/>
    </row>
    <row r="1954" spans="37:43">
      <c r="AK1954" s="145"/>
      <c r="AL1954" s="145"/>
      <c r="AM1954" s="145"/>
      <c r="AN1954" s="145"/>
      <c r="AO1954" s="145"/>
      <c r="AP1954" s="145"/>
      <c r="AQ1954" s="145"/>
    </row>
    <row r="1955" spans="37:43">
      <c r="AK1955" s="145"/>
      <c r="AL1955" s="145"/>
      <c r="AM1955" s="145"/>
      <c r="AN1955" s="145"/>
      <c r="AO1955" s="145"/>
      <c r="AP1955" s="145"/>
      <c r="AQ1955" s="145"/>
    </row>
    <row r="1956" spans="37:43">
      <c r="AK1956" s="145"/>
      <c r="AL1956" s="145"/>
      <c r="AM1956" s="145"/>
      <c r="AN1956" s="145"/>
      <c r="AO1956" s="145"/>
      <c r="AP1956" s="145"/>
      <c r="AQ1956" s="145"/>
    </row>
    <row r="1957" spans="37:43">
      <c r="AK1957" s="145"/>
      <c r="AL1957" s="145"/>
      <c r="AM1957" s="145"/>
      <c r="AN1957" s="145"/>
      <c r="AO1957" s="145"/>
      <c r="AP1957" s="145"/>
      <c r="AQ1957" s="145"/>
    </row>
    <row r="1958" spans="37:43">
      <c r="AK1958" s="145"/>
      <c r="AL1958" s="145"/>
      <c r="AM1958" s="145"/>
      <c r="AN1958" s="145"/>
      <c r="AO1958" s="145"/>
      <c r="AP1958" s="145"/>
      <c r="AQ1958" s="145"/>
    </row>
    <row r="1959" spans="37:43">
      <c r="AK1959" s="145"/>
      <c r="AL1959" s="145"/>
      <c r="AM1959" s="145"/>
      <c r="AN1959" s="145"/>
      <c r="AO1959" s="145"/>
      <c r="AP1959" s="145"/>
      <c r="AQ1959" s="145"/>
    </row>
    <row r="1960" spans="37:43">
      <c r="AK1960" s="145"/>
      <c r="AL1960" s="145"/>
      <c r="AM1960" s="145"/>
      <c r="AN1960" s="145"/>
      <c r="AO1960" s="145"/>
      <c r="AP1960" s="145"/>
      <c r="AQ1960" s="145"/>
    </row>
    <row r="1961" spans="37:43">
      <c r="AK1961" s="145"/>
      <c r="AL1961" s="145"/>
      <c r="AM1961" s="145"/>
      <c r="AN1961" s="145"/>
      <c r="AO1961" s="145"/>
      <c r="AP1961" s="145"/>
      <c r="AQ1961" s="145"/>
    </row>
    <row r="1962" spans="37:43">
      <c r="AK1962" s="145"/>
      <c r="AL1962" s="145"/>
      <c r="AM1962" s="145"/>
      <c r="AN1962" s="145"/>
      <c r="AO1962" s="145"/>
      <c r="AP1962" s="145"/>
      <c r="AQ1962" s="145"/>
    </row>
    <row r="1963" spans="37:43">
      <c r="AK1963" s="145"/>
      <c r="AL1963" s="145"/>
      <c r="AM1963" s="145"/>
      <c r="AN1963" s="145"/>
      <c r="AO1963" s="145"/>
      <c r="AP1963" s="145"/>
      <c r="AQ1963" s="145"/>
    </row>
    <row r="1964" spans="37:43">
      <c r="AK1964" s="145"/>
      <c r="AL1964" s="145"/>
      <c r="AM1964" s="145"/>
      <c r="AN1964" s="145"/>
      <c r="AO1964" s="145"/>
      <c r="AP1964" s="145"/>
      <c r="AQ1964" s="145"/>
    </row>
    <row r="1965" spans="37:43">
      <c r="AK1965" s="145"/>
      <c r="AL1965" s="145"/>
      <c r="AM1965" s="145"/>
      <c r="AN1965" s="145"/>
      <c r="AO1965" s="145"/>
      <c r="AP1965" s="145"/>
      <c r="AQ1965" s="145"/>
    </row>
    <row r="1966" spans="37:43">
      <c r="AK1966" s="145"/>
      <c r="AL1966" s="145"/>
      <c r="AM1966" s="145"/>
      <c r="AN1966" s="145"/>
      <c r="AO1966" s="145"/>
      <c r="AP1966" s="145"/>
      <c r="AQ1966" s="145"/>
    </row>
    <row r="1967" spans="37:43">
      <c r="AK1967" s="145"/>
      <c r="AL1967" s="145"/>
      <c r="AM1967" s="145"/>
      <c r="AN1967" s="145"/>
      <c r="AO1967" s="145"/>
      <c r="AP1967" s="145"/>
      <c r="AQ1967" s="145"/>
    </row>
    <row r="1968" spans="37:43">
      <c r="AK1968" s="145"/>
      <c r="AL1968" s="145"/>
      <c r="AM1968" s="145"/>
      <c r="AN1968" s="145"/>
      <c r="AO1968" s="145"/>
      <c r="AP1968" s="145"/>
      <c r="AQ1968" s="145"/>
    </row>
    <row r="1969" spans="37:43">
      <c r="AK1969" s="145"/>
      <c r="AL1969" s="145"/>
      <c r="AM1969" s="145"/>
      <c r="AN1969" s="145"/>
      <c r="AO1969" s="145"/>
      <c r="AP1969" s="145"/>
      <c r="AQ1969" s="145"/>
    </row>
    <row r="1970" spans="37:43">
      <c r="AK1970" s="145"/>
      <c r="AL1970" s="145"/>
      <c r="AM1970" s="145"/>
      <c r="AN1970" s="145"/>
      <c r="AO1970" s="145"/>
      <c r="AP1970" s="145"/>
      <c r="AQ1970" s="145"/>
    </row>
    <row r="1971" spans="37:43">
      <c r="AK1971" s="145"/>
      <c r="AL1971" s="145"/>
      <c r="AM1971" s="145"/>
      <c r="AN1971" s="145"/>
      <c r="AO1971" s="145"/>
      <c r="AP1971" s="145"/>
      <c r="AQ1971" s="145"/>
    </row>
    <row r="1972" spans="37:43">
      <c r="AK1972" s="145"/>
      <c r="AL1972" s="145"/>
      <c r="AM1972" s="145"/>
      <c r="AN1972" s="145"/>
      <c r="AO1972" s="145"/>
      <c r="AP1972" s="145"/>
      <c r="AQ1972" s="145"/>
    </row>
    <row r="1973" spans="37:43">
      <c r="AK1973" s="145"/>
      <c r="AL1973" s="145"/>
      <c r="AM1973" s="145"/>
      <c r="AN1973" s="145"/>
      <c r="AO1973" s="145"/>
      <c r="AP1973" s="145"/>
      <c r="AQ1973" s="145"/>
    </row>
    <row r="1974" spans="37:43">
      <c r="AK1974" s="145"/>
      <c r="AL1974" s="145"/>
      <c r="AM1974" s="145"/>
      <c r="AN1974" s="145"/>
      <c r="AO1974" s="145"/>
      <c r="AP1974" s="145"/>
      <c r="AQ1974" s="145"/>
    </row>
    <row r="1975" spans="37:43">
      <c r="AK1975" s="145"/>
      <c r="AL1975" s="145"/>
      <c r="AM1975" s="145"/>
      <c r="AN1975" s="145"/>
      <c r="AO1975" s="145"/>
      <c r="AP1975" s="145"/>
      <c r="AQ1975" s="145"/>
    </row>
    <row r="1976" spans="37:43">
      <c r="AK1976" s="145"/>
      <c r="AL1976" s="145"/>
      <c r="AM1976" s="145"/>
      <c r="AN1976" s="145"/>
      <c r="AO1976" s="145"/>
      <c r="AP1976" s="145"/>
      <c r="AQ1976" s="145"/>
    </row>
    <row r="1977" spans="37:43">
      <c r="AK1977" s="145"/>
      <c r="AL1977" s="145"/>
      <c r="AM1977" s="145"/>
      <c r="AN1977" s="145"/>
      <c r="AO1977" s="145"/>
      <c r="AP1977" s="145"/>
      <c r="AQ1977" s="145"/>
    </row>
    <row r="1978" spans="37:43">
      <c r="AK1978" s="145"/>
      <c r="AL1978" s="145"/>
      <c r="AM1978" s="145"/>
      <c r="AN1978" s="145"/>
      <c r="AO1978" s="145"/>
      <c r="AP1978" s="145"/>
      <c r="AQ1978" s="145"/>
    </row>
    <row r="1979" spans="37:43">
      <c r="AK1979" s="145"/>
      <c r="AL1979" s="145"/>
      <c r="AM1979" s="145"/>
      <c r="AN1979" s="145"/>
      <c r="AO1979" s="145"/>
      <c r="AP1979" s="145"/>
      <c r="AQ1979" s="145"/>
    </row>
    <row r="1980" spans="37:43">
      <c r="AK1980" s="145"/>
      <c r="AL1980" s="145"/>
      <c r="AM1980" s="145"/>
      <c r="AN1980" s="145"/>
      <c r="AO1980" s="145"/>
      <c r="AP1980" s="145"/>
      <c r="AQ1980" s="145"/>
    </row>
    <row r="1981" spans="37:43">
      <c r="AK1981" s="145"/>
      <c r="AL1981" s="145"/>
      <c r="AM1981" s="145"/>
      <c r="AN1981" s="145"/>
      <c r="AO1981" s="145"/>
      <c r="AP1981" s="145"/>
      <c r="AQ1981" s="145"/>
    </row>
    <row r="1982" spans="37:43">
      <c r="AK1982" s="145"/>
      <c r="AL1982" s="145"/>
      <c r="AM1982" s="145"/>
      <c r="AN1982" s="145"/>
      <c r="AO1982" s="145"/>
      <c r="AP1982" s="145"/>
      <c r="AQ1982" s="145"/>
    </row>
    <row r="1983" spans="37:43">
      <c r="AK1983" s="145"/>
      <c r="AL1983" s="145"/>
      <c r="AM1983" s="145"/>
      <c r="AN1983" s="145"/>
      <c r="AO1983" s="145"/>
      <c r="AP1983" s="145"/>
      <c r="AQ1983" s="145"/>
    </row>
    <row r="1984" spans="37:43">
      <c r="AK1984" s="145"/>
      <c r="AL1984" s="145"/>
      <c r="AM1984" s="145"/>
      <c r="AN1984" s="145"/>
      <c r="AO1984" s="145"/>
      <c r="AP1984" s="145"/>
      <c r="AQ1984" s="145"/>
    </row>
    <row r="1985" spans="37:43">
      <c r="AK1985" s="145"/>
      <c r="AL1985" s="145"/>
      <c r="AM1985" s="145"/>
      <c r="AN1985" s="145"/>
      <c r="AO1985" s="145"/>
      <c r="AP1985" s="145"/>
      <c r="AQ1985" s="145"/>
    </row>
    <row r="1986" spans="37:43">
      <c r="AK1986" s="145"/>
      <c r="AL1986" s="145"/>
      <c r="AM1986" s="145"/>
      <c r="AN1986" s="145"/>
      <c r="AO1986" s="145"/>
      <c r="AP1986" s="145"/>
      <c r="AQ1986" s="145"/>
    </row>
    <row r="1987" spans="37:43">
      <c r="AK1987" s="145"/>
      <c r="AL1987" s="145"/>
      <c r="AM1987" s="145"/>
      <c r="AN1987" s="145"/>
      <c r="AO1987" s="145"/>
      <c r="AP1987" s="145"/>
      <c r="AQ1987" s="145"/>
    </row>
    <row r="1988" spans="37:43">
      <c r="AK1988" s="145"/>
      <c r="AL1988" s="145"/>
      <c r="AM1988" s="145"/>
      <c r="AN1988" s="145"/>
      <c r="AO1988" s="145"/>
      <c r="AP1988" s="145"/>
      <c r="AQ1988" s="145"/>
    </row>
    <row r="1989" spans="37:43">
      <c r="AK1989" s="145"/>
      <c r="AL1989" s="145"/>
      <c r="AM1989" s="145"/>
      <c r="AN1989" s="145"/>
      <c r="AO1989" s="145"/>
      <c r="AP1989" s="145"/>
      <c r="AQ1989" s="145"/>
    </row>
    <row r="1990" spans="37:43">
      <c r="AK1990" s="145"/>
      <c r="AL1990" s="145"/>
      <c r="AM1990" s="145"/>
      <c r="AN1990" s="145"/>
      <c r="AO1990" s="145"/>
      <c r="AP1990" s="145"/>
      <c r="AQ1990" s="145"/>
    </row>
    <row r="1991" spans="37:43">
      <c r="AK1991" s="145"/>
      <c r="AL1991" s="145"/>
      <c r="AM1991" s="145"/>
      <c r="AN1991" s="145"/>
      <c r="AO1991" s="145"/>
      <c r="AP1991" s="145"/>
      <c r="AQ1991" s="145"/>
    </row>
    <row r="1992" spans="37:43">
      <c r="AK1992" s="145"/>
      <c r="AL1992" s="145"/>
      <c r="AM1992" s="145"/>
      <c r="AN1992" s="145"/>
      <c r="AO1992" s="145"/>
      <c r="AP1992" s="145"/>
      <c r="AQ1992" s="145"/>
    </row>
    <row r="1993" spans="37:43">
      <c r="AK1993" s="145"/>
      <c r="AL1993" s="145"/>
      <c r="AM1993" s="145"/>
      <c r="AN1993" s="145"/>
      <c r="AO1993" s="145"/>
      <c r="AP1993" s="145"/>
      <c r="AQ1993" s="145"/>
    </row>
    <row r="1994" spans="37:43">
      <c r="AK1994" s="145"/>
      <c r="AL1994" s="145"/>
      <c r="AM1994" s="145"/>
      <c r="AN1994" s="145"/>
      <c r="AO1994" s="145"/>
      <c r="AP1994" s="145"/>
      <c r="AQ1994" s="145"/>
    </row>
    <row r="1995" spans="37:43">
      <c r="AK1995" s="145"/>
      <c r="AL1995" s="145"/>
      <c r="AM1995" s="145"/>
      <c r="AN1995" s="145"/>
      <c r="AO1995" s="145"/>
      <c r="AP1995" s="145"/>
      <c r="AQ1995" s="145"/>
    </row>
    <row r="1996" spans="37:43">
      <c r="AK1996" s="145"/>
      <c r="AL1996" s="145"/>
      <c r="AM1996" s="145"/>
      <c r="AN1996" s="145"/>
      <c r="AO1996" s="145"/>
      <c r="AP1996" s="145"/>
      <c r="AQ1996" s="145"/>
    </row>
    <row r="1997" spans="37:43">
      <c r="AK1997" s="145"/>
      <c r="AL1997" s="145"/>
      <c r="AM1997" s="145"/>
      <c r="AN1997" s="145"/>
      <c r="AO1997" s="145"/>
      <c r="AP1997" s="145"/>
      <c r="AQ1997" s="145"/>
    </row>
    <row r="1998" spans="37:43">
      <c r="AK1998" s="145"/>
      <c r="AL1998" s="145"/>
      <c r="AM1998" s="145"/>
      <c r="AN1998" s="145"/>
      <c r="AO1998" s="145"/>
      <c r="AP1998" s="145"/>
      <c r="AQ1998" s="145"/>
    </row>
    <row r="1999" spans="37:43">
      <c r="AK1999" s="145"/>
      <c r="AL1999" s="145"/>
      <c r="AM1999" s="145"/>
      <c r="AN1999" s="145"/>
      <c r="AO1999" s="145"/>
      <c r="AP1999" s="145"/>
      <c r="AQ1999" s="145"/>
    </row>
    <row r="2000" spans="37:43">
      <c r="AK2000" s="145"/>
      <c r="AL2000" s="145"/>
      <c r="AM2000" s="145"/>
      <c r="AN2000" s="145"/>
      <c r="AO2000" s="145"/>
      <c r="AP2000" s="145"/>
      <c r="AQ2000" s="145"/>
    </row>
    <row r="2001" spans="37:43">
      <c r="AK2001" s="145"/>
      <c r="AL2001" s="145"/>
      <c r="AM2001" s="145"/>
      <c r="AN2001" s="145"/>
      <c r="AO2001" s="145"/>
      <c r="AP2001" s="145"/>
      <c r="AQ2001" s="145"/>
    </row>
    <row r="2002" spans="37:43">
      <c r="AK2002" s="145"/>
      <c r="AL2002" s="145"/>
      <c r="AM2002" s="145"/>
      <c r="AN2002" s="145"/>
      <c r="AO2002" s="145"/>
      <c r="AP2002" s="145"/>
      <c r="AQ2002" s="145"/>
    </row>
    <row r="2003" spans="37:43">
      <c r="AK2003" s="145"/>
      <c r="AL2003" s="145"/>
      <c r="AM2003" s="145"/>
      <c r="AN2003" s="145"/>
      <c r="AO2003" s="145"/>
      <c r="AP2003" s="145"/>
      <c r="AQ2003" s="145"/>
    </row>
    <row r="2004" spans="37:43">
      <c r="AK2004" s="145"/>
      <c r="AL2004" s="145"/>
      <c r="AM2004" s="145"/>
      <c r="AN2004" s="145"/>
      <c r="AO2004" s="145"/>
      <c r="AP2004" s="145"/>
      <c r="AQ2004" s="145"/>
    </row>
    <row r="2005" spans="37:43">
      <c r="AK2005" s="145"/>
      <c r="AL2005" s="145"/>
      <c r="AM2005" s="145"/>
      <c r="AN2005" s="145"/>
      <c r="AO2005" s="145"/>
      <c r="AP2005" s="145"/>
      <c r="AQ2005" s="145"/>
    </row>
    <row r="2006" spans="37:43">
      <c r="AK2006" s="145"/>
      <c r="AL2006" s="145"/>
      <c r="AM2006" s="145"/>
      <c r="AN2006" s="145"/>
      <c r="AO2006" s="145"/>
      <c r="AP2006" s="145"/>
      <c r="AQ2006" s="145"/>
    </row>
    <row r="2007" spans="37:43">
      <c r="AK2007" s="145"/>
      <c r="AL2007" s="145"/>
      <c r="AM2007" s="145"/>
      <c r="AN2007" s="145"/>
      <c r="AO2007" s="145"/>
      <c r="AP2007" s="145"/>
      <c r="AQ2007" s="145"/>
    </row>
    <row r="2008" spans="37:43">
      <c r="AK2008" s="145"/>
      <c r="AL2008" s="145"/>
      <c r="AM2008" s="145"/>
      <c r="AN2008" s="145"/>
      <c r="AO2008" s="145"/>
      <c r="AP2008" s="145"/>
      <c r="AQ2008" s="145"/>
    </row>
    <row r="2009" spans="37:43">
      <c r="AK2009" s="145"/>
      <c r="AL2009" s="145"/>
      <c r="AM2009" s="145"/>
      <c r="AN2009" s="145"/>
      <c r="AO2009" s="145"/>
      <c r="AP2009" s="145"/>
      <c r="AQ2009" s="145"/>
    </row>
    <row r="2010" spans="37:43">
      <c r="AK2010" s="145"/>
      <c r="AL2010" s="145"/>
      <c r="AM2010" s="145"/>
      <c r="AN2010" s="145"/>
      <c r="AO2010" s="145"/>
      <c r="AP2010" s="145"/>
      <c r="AQ2010" s="145"/>
    </row>
    <row r="2011" spans="37:43">
      <c r="AK2011" s="145"/>
      <c r="AL2011" s="145"/>
      <c r="AM2011" s="145"/>
      <c r="AN2011" s="145"/>
      <c r="AO2011" s="145"/>
      <c r="AP2011" s="145"/>
      <c r="AQ2011" s="145"/>
    </row>
    <row r="2012" spans="37:43">
      <c r="AK2012" s="145"/>
      <c r="AL2012" s="145"/>
      <c r="AM2012" s="145"/>
      <c r="AN2012" s="145"/>
      <c r="AO2012" s="145"/>
      <c r="AP2012" s="145"/>
      <c r="AQ2012" s="145"/>
    </row>
    <row r="2013" spans="37:43">
      <c r="AK2013" s="145"/>
      <c r="AL2013" s="145"/>
      <c r="AM2013" s="145"/>
      <c r="AN2013" s="145"/>
      <c r="AO2013" s="145"/>
      <c r="AP2013" s="145"/>
      <c r="AQ2013" s="145"/>
    </row>
    <row r="2014" spans="37:43">
      <c r="AK2014" s="145"/>
      <c r="AL2014" s="145"/>
      <c r="AM2014" s="145"/>
      <c r="AN2014" s="145"/>
      <c r="AO2014" s="145"/>
      <c r="AP2014" s="145"/>
      <c r="AQ2014" s="145"/>
    </row>
    <row r="2015" spans="37:43">
      <c r="AK2015" s="145"/>
      <c r="AL2015" s="145"/>
      <c r="AM2015" s="145"/>
      <c r="AN2015" s="145"/>
      <c r="AO2015" s="145"/>
      <c r="AP2015" s="145"/>
      <c r="AQ2015" s="145"/>
    </row>
    <row r="2016" spans="37:43">
      <c r="AK2016" s="145"/>
      <c r="AL2016" s="145"/>
      <c r="AM2016" s="145"/>
      <c r="AN2016" s="145"/>
      <c r="AO2016" s="145"/>
      <c r="AP2016" s="145"/>
      <c r="AQ2016" s="145"/>
    </row>
    <row r="2017" spans="37:43">
      <c r="AK2017" s="145"/>
      <c r="AL2017" s="145"/>
      <c r="AM2017" s="145"/>
      <c r="AN2017" s="145"/>
      <c r="AO2017" s="145"/>
      <c r="AP2017" s="145"/>
      <c r="AQ2017" s="145"/>
    </row>
    <row r="2018" spans="37:43">
      <c r="AK2018" s="145"/>
      <c r="AL2018" s="145"/>
      <c r="AM2018" s="145"/>
      <c r="AN2018" s="145"/>
      <c r="AO2018" s="145"/>
      <c r="AP2018" s="145"/>
      <c r="AQ2018" s="145"/>
    </row>
    <row r="2019" spans="37:43">
      <c r="AK2019" s="145"/>
      <c r="AL2019" s="145"/>
      <c r="AM2019" s="145"/>
      <c r="AN2019" s="145"/>
      <c r="AO2019" s="145"/>
      <c r="AP2019" s="145"/>
      <c r="AQ2019" s="145"/>
    </row>
    <row r="2020" spans="37:43">
      <c r="AK2020" s="145"/>
      <c r="AL2020" s="145"/>
      <c r="AM2020" s="145"/>
      <c r="AN2020" s="145"/>
      <c r="AO2020" s="145"/>
      <c r="AP2020" s="145"/>
      <c r="AQ2020" s="145"/>
    </row>
    <row r="2021" spans="37:43">
      <c r="AK2021" s="145"/>
      <c r="AL2021" s="145"/>
      <c r="AM2021" s="145"/>
      <c r="AN2021" s="145"/>
      <c r="AO2021" s="145"/>
      <c r="AP2021" s="145"/>
      <c r="AQ2021" s="145"/>
    </row>
    <row r="2022" spans="37:43">
      <c r="AK2022" s="145"/>
      <c r="AL2022" s="145"/>
      <c r="AM2022" s="145"/>
      <c r="AN2022" s="145"/>
      <c r="AO2022" s="145"/>
      <c r="AP2022" s="145"/>
      <c r="AQ2022" s="145"/>
    </row>
    <row r="2023" spans="37:43">
      <c r="AK2023" s="145"/>
      <c r="AL2023" s="145"/>
      <c r="AM2023" s="145"/>
      <c r="AN2023" s="145"/>
      <c r="AO2023" s="145"/>
      <c r="AP2023" s="145"/>
      <c r="AQ2023" s="145"/>
    </row>
    <row r="2024" spans="37:43">
      <c r="AK2024" s="145"/>
      <c r="AL2024" s="145"/>
      <c r="AM2024" s="145"/>
      <c r="AN2024" s="145"/>
      <c r="AO2024" s="145"/>
      <c r="AP2024" s="145"/>
      <c r="AQ2024" s="145"/>
    </row>
    <row r="2025" spans="37:43">
      <c r="AK2025" s="145"/>
      <c r="AL2025" s="145"/>
      <c r="AM2025" s="145"/>
      <c r="AN2025" s="145"/>
      <c r="AO2025" s="145"/>
      <c r="AP2025" s="145"/>
      <c r="AQ2025" s="145"/>
    </row>
    <row r="2026" spans="37:43">
      <c r="AK2026" s="145"/>
      <c r="AL2026" s="145"/>
      <c r="AM2026" s="145"/>
      <c r="AN2026" s="145"/>
      <c r="AO2026" s="145"/>
      <c r="AP2026" s="145"/>
      <c r="AQ2026" s="145"/>
    </row>
    <row r="2027" spans="37:43">
      <c r="AK2027" s="145"/>
      <c r="AL2027" s="145"/>
      <c r="AM2027" s="145"/>
      <c r="AN2027" s="145"/>
      <c r="AO2027" s="145"/>
      <c r="AP2027" s="145"/>
      <c r="AQ2027" s="145"/>
    </row>
    <row r="2028" spans="37:43">
      <c r="AK2028" s="145"/>
      <c r="AL2028" s="145"/>
      <c r="AM2028" s="145"/>
      <c r="AN2028" s="145"/>
      <c r="AO2028" s="145"/>
      <c r="AP2028" s="145"/>
      <c r="AQ2028" s="145"/>
    </row>
    <row r="2029" spans="37:43">
      <c r="AK2029" s="145"/>
      <c r="AL2029" s="145"/>
      <c r="AM2029" s="145"/>
      <c r="AN2029" s="145"/>
      <c r="AO2029" s="145"/>
      <c r="AP2029" s="145"/>
      <c r="AQ2029" s="145"/>
    </row>
    <row r="2030" spans="37:43">
      <c r="AK2030" s="145"/>
      <c r="AL2030" s="145"/>
      <c r="AM2030" s="145"/>
      <c r="AN2030" s="145"/>
      <c r="AO2030" s="145"/>
      <c r="AP2030" s="145"/>
      <c r="AQ2030" s="145"/>
    </row>
    <row r="2031" spans="37:43">
      <c r="AK2031" s="145"/>
      <c r="AL2031" s="145"/>
      <c r="AM2031" s="145"/>
      <c r="AN2031" s="145"/>
      <c r="AO2031" s="145"/>
      <c r="AP2031" s="145"/>
      <c r="AQ2031" s="145"/>
    </row>
    <row r="2032" spans="37:43">
      <c r="AK2032" s="145"/>
      <c r="AL2032" s="145"/>
      <c r="AM2032" s="145"/>
      <c r="AN2032" s="145"/>
      <c r="AO2032" s="145"/>
      <c r="AP2032" s="145"/>
      <c r="AQ2032" s="145"/>
    </row>
    <row r="2033" spans="37:43">
      <c r="AK2033" s="145"/>
      <c r="AL2033" s="145"/>
      <c r="AM2033" s="145"/>
      <c r="AN2033" s="145"/>
      <c r="AO2033" s="145"/>
      <c r="AP2033" s="145"/>
      <c r="AQ2033" s="145"/>
    </row>
    <row r="2034" spans="37:43">
      <c r="AK2034" s="145"/>
      <c r="AL2034" s="145"/>
      <c r="AM2034" s="145"/>
      <c r="AN2034" s="145"/>
      <c r="AO2034" s="145"/>
      <c r="AP2034" s="145"/>
      <c r="AQ2034" s="145"/>
    </row>
    <row r="2035" spans="37:43">
      <c r="AK2035" s="145"/>
      <c r="AL2035" s="145"/>
      <c r="AM2035" s="145"/>
      <c r="AN2035" s="145"/>
      <c r="AO2035" s="145"/>
      <c r="AP2035" s="145"/>
      <c r="AQ2035" s="145"/>
    </row>
    <row r="2036" spans="37:43">
      <c r="AK2036" s="145"/>
      <c r="AL2036" s="145"/>
      <c r="AM2036" s="145"/>
      <c r="AN2036" s="145"/>
      <c r="AO2036" s="145"/>
      <c r="AP2036" s="145"/>
      <c r="AQ2036" s="145"/>
    </row>
    <row r="2037" spans="37:43">
      <c r="AK2037" s="145"/>
      <c r="AL2037" s="145"/>
      <c r="AM2037" s="145"/>
      <c r="AN2037" s="145"/>
      <c r="AO2037" s="145"/>
      <c r="AP2037" s="145"/>
      <c r="AQ2037" s="145"/>
    </row>
    <row r="2038" spans="37:43">
      <c r="AK2038" s="145"/>
      <c r="AL2038" s="145"/>
      <c r="AM2038" s="145"/>
      <c r="AN2038" s="145"/>
      <c r="AO2038" s="145"/>
      <c r="AP2038" s="145"/>
      <c r="AQ2038" s="145"/>
    </row>
    <row r="2039" spans="37:43">
      <c r="AK2039" s="145"/>
      <c r="AL2039" s="145"/>
      <c r="AM2039" s="145"/>
      <c r="AN2039" s="145"/>
      <c r="AO2039" s="145"/>
      <c r="AP2039" s="145"/>
      <c r="AQ2039" s="145"/>
    </row>
    <row r="2040" spans="37:43">
      <c r="AK2040" s="145"/>
      <c r="AL2040" s="145"/>
      <c r="AM2040" s="145"/>
      <c r="AN2040" s="145"/>
      <c r="AO2040" s="145"/>
      <c r="AP2040" s="145"/>
      <c r="AQ2040" s="145"/>
    </row>
    <row r="2041" spans="37:43">
      <c r="AK2041" s="145"/>
      <c r="AL2041" s="145"/>
      <c r="AM2041" s="145"/>
      <c r="AN2041" s="145"/>
      <c r="AO2041" s="145"/>
      <c r="AP2041" s="145"/>
      <c r="AQ2041" s="145"/>
    </row>
    <row r="2042" spans="37:43">
      <c r="AK2042" s="145"/>
      <c r="AL2042" s="145"/>
      <c r="AM2042" s="145"/>
      <c r="AN2042" s="145"/>
      <c r="AO2042" s="145"/>
      <c r="AP2042" s="145"/>
      <c r="AQ2042" s="145"/>
    </row>
    <row r="2043" spans="37:43">
      <c r="AK2043" s="145"/>
      <c r="AL2043" s="145"/>
      <c r="AM2043" s="145"/>
      <c r="AN2043" s="145"/>
      <c r="AO2043" s="145"/>
      <c r="AP2043" s="145"/>
      <c r="AQ2043" s="145"/>
    </row>
    <row r="2044" spans="37:43">
      <c r="AK2044" s="145"/>
      <c r="AL2044" s="145"/>
      <c r="AM2044" s="145"/>
      <c r="AN2044" s="145"/>
      <c r="AO2044" s="145"/>
      <c r="AP2044" s="145"/>
      <c r="AQ2044" s="145"/>
    </row>
    <row r="2045" spans="37:43">
      <c r="AK2045" s="145"/>
      <c r="AL2045" s="145"/>
      <c r="AM2045" s="145"/>
      <c r="AN2045" s="145"/>
      <c r="AO2045" s="145"/>
      <c r="AP2045" s="145"/>
      <c r="AQ2045" s="145"/>
    </row>
    <row r="2046" spans="37:43">
      <c r="AK2046" s="145"/>
      <c r="AL2046" s="145"/>
      <c r="AM2046" s="145"/>
      <c r="AN2046" s="145"/>
      <c r="AO2046" s="145"/>
      <c r="AP2046" s="145"/>
      <c r="AQ2046" s="145"/>
    </row>
    <row r="2047" spans="37:43">
      <c r="AK2047" s="145"/>
      <c r="AL2047" s="145"/>
      <c r="AM2047" s="145"/>
      <c r="AN2047" s="145"/>
      <c r="AO2047" s="145"/>
      <c r="AP2047" s="145"/>
      <c r="AQ2047" s="145"/>
    </row>
    <row r="2048" spans="37:43">
      <c r="AK2048" s="145"/>
      <c r="AL2048" s="145"/>
      <c r="AM2048" s="145"/>
      <c r="AN2048" s="145"/>
      <c r="AO2048" s="145"/>
      <c r="AP2048" s="145"/>
      <c r="AQ2048" s="145"/>
    </row>
    <row r="2049" spans="37:43">
      <c r="AK2049" s="145"/>
      <c r="AL2049" s="145"/>
      <c r="AM2049" s="145"/>
      <c r="AN2049" s="145"/>
      <c r="AO2049" s="145"/>
      <c r="AP2049" s="145"/>
      <c r="AQ2049" s="145"/>
    </row>
    <row r="2050" spans="37:43">
      <c r="AK2050" s="145"/>
      <c r="AL2050" s="145"/>
      <c r="AM2050" s="145"/>
      <c r="AN2050" s="145"/>
      <c r="AO2050" s="145"/>
      <c r="AP2050" s="145"/>
      <c r="AQ2050" s="145"/>
    </row>
    <row r="2051" spans="37:43">
      <c r="AK2051" s="145"/>
      <c r="AL2051" s="145"/>
      <c r="AM2051" s="145"/>
      <c r="AN2051" s="145"/>
      <c r="AO2051" s="145"/>
      <c r="AP2051" s="145"/>
      <c r="AQ2051" s="145"/>
    </row>
    <row r="2052" spans="37:43">
      <c r="AK2052" s="145"/>
      <c r="AL2052" s="145"/>
      <c r="AM2052" s="145"/>
      <c r="AN2052" s="145"/>
      <c r="AO2052" s="145"/>
      <c r="AP2052" s="145"/>
      <c r="AQ2052" s="145"/>
    </row>
    <row r="2053" spans="37:43">
      <c r="AK2053" s="145"/>
      <c r="AL2053" s="145"/>
      <c r="AM2053" s="145"/>
      <c r="AN2053" s="145"/>
      <c r="AO2053" s="145"/>
      <c r="AP2053" s="145"/>
      <c r="AQ2053" s="145"/>
    </row>
    <row r="2054" spans="37:43">
      <c r="AK2054" s="145"/>
      <c r="AL2054" s="145"/>
      <c r="AM2054" s="145"/>
      <c r="AN2054" s="145"/>
      <c r="AO2054" s="145"/>
      <c r="AP2054" s="145"/>
      <c r="AQ2054" s="145"/>
    </row>
    <row r="2055" spans="37:43">
      <c r="AK2055" s="145"/>
      <c r="AL2055" s="145"/>
      <c r="AM2055" s="145"/>
      <c r="AN2055" s="145"/>
      <c r="AO2055" s="145"/>
      <c r="AP2055" s="145"/>
      <c r="AQ2055" s="145"/>
    </row>
    <row r="2056" spans="37:43">
      <c r="AK2056" s="145"/>
      <c r="AL2056" s="145"/>
      <c r="AM2056" s="145"/>
      <c r="AN2056" s="145"/>
      <c r="AO2056" s="145"/>
      <c r="AP2056" s="145"/>
      <c r="AQ2056" s="145"/>
    </row>
    <row r="2057" spans="37:43">
      <c r="AK2057" s="145"/>
      <c r="AL2057" s="145"/>
      <c r="AM2057" s="145"/>
      <c r="AN2057" s="145"/>
      <c r="AO2057" s="145"/>
      <c r="AP2057" s="145"/>
      <c r="AQ2057" s="145"/>
    </row>
    <row r="2058" spans="37:43">
      <c r="AK2058" s="145"/>
      <c r="AL2058" s="145"/>
      <c r="AM2058" s="145"/>
      <c r="AN2058" s="145"/>
      <c r="AO2058" s="145"/>
      <c r="AP2058" s="145"/>
      <c r="AQ2058" s="145"/>
    </row>
    <row r="2059" spans="37:43">
      <c r="AK2059" s="145"/>
      <c r="AL2059" s="145"/>
      <c r="AM2059" s="145"/>
      <c r="AN2059" s="145"/>
      <c r="AO2059" s="145"/>
      <c r="AP2059" s="145"/>
      <c r="AQ2059" s="145"/>
    </row>
    <row r="2060" spans="37:43">
      <c r="AK2060" s="145"/>
      <c r="AL2060" s="145"/>
      <c r="AM2060" s="145"/>
      <c r="AN2060" s="145"/>
      <c r="AO2060" s="145"/>
      <c r="AP2060" s="145"/>
      <c r="AQ2060" s="145"/>
    </row>
    <row r="2061" spans="37:43">
      <c r="AK2061" s="145"/>
      <c r="AL2061" s="145"/>
      <c r="AM2061" s="145"/>
      <c r="AN2061" s="145"/>
      <c r="AO2061" s="145"/>
      <c r="AP2061" s="145"/>
      <c r="AQ2061" s="145"/>
    </row>
    <row r="2062" spans="37:43">
      <c r="AK2062" s="145"/>
      <c r="AL2062" s="145"/>
      <c r="AM2062" s="145"/>
      <c r="AN2062" s="145"/>
      <c r="AO2062" s="145"/>
      <c r="AP2062" s="145"/>
      <c r="AQ2062" s="145"/>
    </row>
    <row r="2063" spans="37:43">
      <c r="AK2063" s="145"/>
      <c r="AL2063" s="145"/>
      <c r="AM2063" s="145"/>
      <c r="AN2063" s="145"/>
      <c r="AO2063" s="145"/>
      <c r="AP2063" s="145"/>
      <c r="AQ2063" s="145"/>
    </row>
    <row r="2064" spans="37:43">
      <c r="AK2064" s="145"/>
      <c r="AL2064" s="145"/>
      <c r="AM2064" s="145"/>
      <c r="AN2064" s="145"/>
      <c r="AO2064" s="145"/>
      <c r="AP2064" s="145"/>
      <c r="AQ2064" s="145"/>
    </row>
    <row r="2065" spans="37:43">
      <c r="AK2065" s="145"/>
      <c r="AL2065" s="145"/>
      <c r="AM2065" s="145"/>
      <c r="AN2065" s="145"/>
      <c r="AO2065" s="145"/>
      <c r="AP2065" s="145"/>
      <c r="AQ2065" s="145"/>
    </row>
    <row r="2066" spans="37:43">
      <c r="AK2066" s="145"/>
      <c r="AL2066" s="145"/>
      <c r="AM2066" s="145"/>
      <c r="AN2066" s="145"/>
      <c r="AO2066" s="145"/>
      <c r="AP2066" s="145"/>
      <c r="AQ2066" s="145"/>
    </row>
    <row r="2067" spans="37:43">
      <c r="AK2067" s="145"/>
      <c r="AL2067" s="145"/>
      <c r="AM2067" s="145"/>
      <c r="AN2067" s="145"/>
      <c r="AO2067" s="145"/>
      <c r="AP2067" s="145"/>
      <c r="AQ2067" s="145"/>
    </row>
    <row r="2068" spans="37:43">
      <c r="AK2068" s="145"/>
      <c r="AL2068" s="145"/>
      <c r="AM2068" s="145"/>
      <c r="AN2068" s="145"/>
      <c r="AO2068" s="145"/>
      <c r="AP2068" s="145"/>
      <c r="AQ2068" s="145"/>
    </row>
    <row r="2069" spans="37:43">
      <c r="AK2069" s="145"/>
      <c r="AL2069" s="145"/>
      <c r="AM2069" s="145"/>
      <c r="AN2069" s="145"/>
      <c r="AO2069" s="145"/>
      <c r="AP2069" s="145"/>
      <c r="AQ2069" s="145"/>
    </row>
    <row r="2070" spans="37:43">
      <c r="AK2070" s="145"/>
      <c r="AL2070" s="145"/>
      <c r="AM2070" s="145"/>
      <c r="AN2070" s="145"/>
      <c r="AO2070" s="145"/>
      <c r="AP2070" s="145"/>
      <c r="AQ2070" s="145"/>
    </row>
    <row r="2071" spans="37:43">
      <c r="AK2071" s="145"/>
      <c r="AL2071" s="145"/>
      <c r="AM2071" s="145"/>
      <c r="AN2071" s="145"/>
      <c r="AO2071" s="145"/>
      <c r="AP2071" s="145"/>
      <c r="AQ2071" s="145"/>
    </row>
    <row r="2072" spans="37:43">
      <c r="AK2072" s="145"/>
      <c r="AL2072" s="145"/>
      <c r="AM2072" s="145"/>
      <c r="AN2072" s="145"/>
      <c r="AO2072" s="145"/>
      <c r="AP2072" s="145"/>
      <c r="AQ2072" s="145"/>
    </row>
    <row r="2073" spans="37:43">
      <c r="AK2073" s="145"/>
      <c r="AL2073" s="145"/>
      <c r="AM2073" s="145"/>
      <c r="AN2073" s="145"/>
      <c r="AO2073" s="145"/>
      <c r="AP2073" s="145"/>
      <c r="AQ2073" s="145"/>
    </row>
    <row r="2074" spans="37:43">
      <c r="AK2074" s="145"/>
      <c r="AL2074" s="145"/>
      <c r="AM2074" s="145"/>
      <c r="AN2074" s="145"/>
      <c r="AO2074" s="145"/>
      <c r="AP2074" s="145"/>
      <c r="AQ2074" s="145"/>
    </row>
    <row r="2075" spans="37:43">
      <c r="AK2075" s="145"/>
      <c r="AL2075" s="145"/>
      <c r="AM2075" s="145"/>
      <c r="AN2075" s="145"/>
      <c r="AO2075" s="145"/>
      <c r="AP2075" s="145"/>
      <c r="AQ2075" s="145"/>
    </row>
    <row r="2076" spans="37:43">
      <c r="AK2076" s="145"/>
      <c r="AL2076" s="145"/>
      <c r="AM2076" s="145"/>
      <c r="AN2076" s="145"/>
      <c r="AO2076" s="145"/>
      <c r="AP2076" s="145"/>
      <c r="AQ2076" s="145"/>
    </row>
    <row r="2077" spans="37:43">
      <c r="AK2077" s="145"/>
      <c r="AL2077" s="145"/>
      <c r="AM2077" s="145"/>
      <c r="AN2077" s="145"/>
      <c r="AO2077" s="145"/>
      <c r="AP2077" s="145"/>
      <c r="AQ2077" s="145"/>
    </row>
    <row r="2078" spans="37:43">
      <c r="AK2078" s="145"/>
      <c r="AL2078" s="145"/>
      <c r="AM2078" s="145"/>
      <c r="AN2078" s="145"/>
      <c r="AO2078" s="145"/>
      <c r="AP2078" s="145"/>
      <c r="AQ2078" s="145"/>
    </row>
    <row r="2079" spans="37:43">
      <c r="AK2079" s="145"/>
      <c r="AL2079" s="145"/>
      <c r="AM2079" s="145"/>
      <c r="AN2079" s="145"/>
      <c r="AO2079" s="145"/>
      <c r="AP2079" s="145"/>
      <c r="AQ2079" s="145"/>
    </row>
    <row r="2080" spans="37:43">
      <c r="AK2080" s="145"/>
      <c r="AL2080" s="145"/>
      <c r="AM2080" s="145"/>
      <c r="AN2080" s="145"/>
      <c r="AO2080" s="145"/>
      <c r="AP2080" s="145"/>
      <c r="AQ2080" s="145"/>
    </row>
    <row r="2081" spans="37:43">
      <c r="AK2081" s="145"/>
      <c r="AL2081" s="145"/>
      <c r="AM2081" s="145"/>
      <c r="AN2081" s="145"/>
      <c r="AO2081" s="145"/>
      <c r="AP2081" s="145"/>
      <c r="AQ2081" s="145"/>
    </row>
    <row r="2082" spans="37:43">
      <c r="AK2082" s="145"/>
      <c r="AL2082" s="145"/>
      <c r="AM2082" s="145"/>
      <c r="AN2082" s="145"/>
      <c r="AO2082" s="145"/>
      <c r="AP2082" s="145"/>
      <c r="AQ2082" s="145"/>
    </row>
    <row r="2083" spans="37:43">
      <c r="AK2083" s="145"/>
      <c r="AL2083" s="145"/>
      <c r="AM2083" s="145"/>
      <c r="AN2083" s="145"/>
      <c r="AO2083" s="145"/>
      <c r="AP2083" s="145"/>
      <c r="AQ2083" s="145"/>
    </row>
    <row r="2084" spans="37:43">
      <c r="AK2084" s="145"/>
      <c r="AL2084" s="145"/>
      <c r="AM2084" s="145"/>
      <c r="AN2084" s="145"/>
      <c r="AO2084" s="145"/>
      <c r="AP2084" s="145"/>
      <c r="AQ2084" s="145"/>
    </row>
    <row r="2085" spans="37:43">
      <c r="AK2085" s="145"/>
      <c r="AL2085" s="145"/>
      <c r="AM2085" s="145"/>
      <c r="AN2085" s="145"/>
      <c r="AO2085" s="145"/>
      <c r="AP2085" s="145"/>
      <c r="AQ2085" s="145"/>
    </row>
    <row r="2086" spans="37:43">
      <c r="AK2086" s="145"/>
      <c r="AL2086" s="145"/>
      <c r="AM2086" s="145"/>
      <c r="AN2086" s="145"/>
      <c r="AO2086" s="145"/>
      <c r="AP2086" s="145"/>
      <c r="AQ2086" s="145"/>
    </row>
    <row r="2087" spans="37:43">
      <c r="AK2087" s="145"/>
      <c r="AL2087" s="145"/>
      <c r="AM2087" s="145"/>
      <c r="AN2087" s="145"/>
      <c r="AO2087" s="145"/>
      <c r="AP2087" s="145"/>
      <c r="AQ2087" s="145"/>
    </row>
    <row r="2088" spans="37:43">
      <c r="AK2088" s="145"/>
      <c r="AL2088" s="145"/>
      <c r="AM2088" s="145"/>
      <c r="AN2088" s="145"/>
      <c r="AO2088" s="145"/>
      <c r="AP2088" s="145"/>
      <c r="AQ2088" s="145"/>
    </row>
    <row r="2089" spans="37:43">
      <c r="AK2089" s="145"/>
      <c r="AL2089" s="145"/>
      <c r="AM2089" s="145"/>
      <c r="AN2089" s="145"/>
      <c r="AO2089" s="145"/>
      <c r="AP2089" s="145"/>
      <c r="AQ2089" s="145"/>
    </row>
    <row r="2090" spans="37:43">
      <c r="AK2090" s="145"/>
      <c r="AL2090" s="145"/>
      <c r="AM2090" s="145"/>
      <c r="AN2090" s="145"/>
      <c r="AO2090" s="145"/>
      <c r="AP2090" s="145"/>
      <c r="AQ2090" s="145"/>
    </row>
    <row r="2091" spans="37:43">
      <c r="AK2091" s="145"/>
      <c r="AL2091" s="145"/>
      <c r="AM2091" s="145"/>
      <c r="AN2091" s="145"/>
      <c r="AO2091" s="145"/>
      <c r="AP2091" s="145"/>
      <c r="AQ2091" s="145"/>
    </row>
    <row r="2092" spans="37:43">
      <c r="AK2092" s="145"/>
      <c r="AL2092" s="145"/>
      <c r="AM2092" s="145"/>
      <c r="AN2092" s="145"/>
      <c r="AO2092" s="145"/>
      <c r="AP2092" s="145"/>
      <c r="AQ2092" s="145"/>
    </row>
    <row r="2093" spans="37:43">
      <c r="AK2093" s="145"/>
      <c r="AL2093" s="145"/>
      <c r="AM2093" s="145"/>
      <c r="AN2093" s="145"/>
      <c r="AO2093" s="145"/>
      <c r="AP2093" s="145"/>
      <c r="AQ2093" s="145"/>
    </row>
    <row r="2094" spans="37:43">
      <c r="AK2094" s="145"/>
      <c r="AL2094" s="145"/>
      <c r="AM2094" s="145"/>
      <c r="AN2094" s="145"/>
      <c r="AO2094" s="145"/>
      <c r="AP2094" s="145"/>
      <c r="AQ2094" s="145"/>
    </row>
    <row r="2095" spans="37:43">
      <c r="AK2095" s="145"/>
      <c r="AL2095" s="145"/>
      <c r="AM2095" s="145"/>
      <c r="AN2095" s="145"/>
      <c r="AO2095" s="145"/>
      <c r="AP2095" s="145"/>
      <c r="AQ2095" s="145"/>
    </row>
    <row r="2096" spans="37:43">
      <c r="AK2096" s="145"/>
      <c r="AL2096" s="145"/>
      <c r="AM2096" s="145"/>
      <c r="AN2096" s="145"/>
      <c r="AO2096" s="145"/>
      <c r="AP2096" s="145"/>
      <c r="AQ2096" s="145"/>
    </row>
    <row r="2097" spans="37:43">
      <c r="AK2097" s="145"/>
      <c r="AL2097" s="145"/>
      <c r="AM2097" s="145"/>
      <c r="AN2097" s="145"/>
      <c r="AO2097" s="145"/>
      <c r="AP2097" s="145"/>
      <c r="AQ2097" s="145"/>
    </row>
    <row r="2098" spans="37:43">
      <c r="AK2098" s="145"/>
      <c r="AL2098" s="145"/>
      <c r="AM2098" s="145"/>
      <c r="AN2098" s="145"/>
      <c r="AO2098" s="145"/>
      <c r="AP2098" s="145"/>
      <c r="AQ2098" s="145"/>
    </row>
    <row r="2099" spans="37:43">
      <c r="AK2099" s="145"/>
      <c r="AL2099" s="145"/>
      <c r="AM2099" s="145"/>
      <c r="AN2099" s="145"/>
      <c r="AO2099" s="145"/>
      <c r="AP2099" s="145"/>
      <c r="AQ2099" s="145"/>
    </row>
    <row r="2100" spans="37:43">
      <c r="AK2100" s="145"/>
      <c r="AL2100" s="145"/>
      <c r="AM2100" s="145"/>
      <c r="AN2100" s="145"/>
      <c r="AO2100" s="145"/>
      <c r="AP2100" s="145"/>
      <c r="AQ2100" s="145"/>
    </row>
    <row r="2101" spans="37:43">
      <c r="AK2101" s="145"/>
      <c r="AL2101" s="145"/>
      <c r="AM2101" s="145"/>
      <c r="AN2101" s="145"/>
      <c r="AO2101" s="145"/>
      <c r="AP2101" s="145"/>
      <c r="AQ2101" s="145"/>
    </row>
    <row r="2102" spans="37:43">
      <c r="AK2102" s="145"/>
      <c r="AL2102" s="145"/>
      <c r="AM2102" s="145"/>
      <c r="AN2102" s="145"/>
      <c r="AO2102" s="145"/>
      <c r="AP2102" s="145"/>
      <c r="AQ2102" s="145"/>
    </row>
    <row r="2103" spans="37:43">
      <c r="AK2103" s="145"/>
      <c r="AL2103" s="145"/>
      <c r="AM2103" s="145"/>
      <c r="AN2103" s="145"/>
      <c r="AO2103" s="145"/>
      <c r="AP2103" s="145"/>
      <c r="AQ2103" s="145"/>
    </row>
    <row r="2104" spans="37:43">
      <c r="AK2104" s="145"/>
      <c r="AL2104" s="145"/>
      <c r="AM2104" s="145"/>
      <c r="AN2104" s="145"/>
      <c r="AO2104" s="145"/>
      <c r="AP2104" s="145"/>
      <c r="AQ2104" s="145"/>
    </row>
    <row r="2105" spans="37:43">
      <c r="AK2105" s="145"/>
      <c r="AL2105" s="145"/>
      <c r="AM2105" s="145"/>
      <c r="AN2105" s="145"/>
      <c r="AO2105" s="145"/>
      <c r="AP2105" s="145"/>
      <c r="AQ2105" s="145"/>
    </row>
    <row r="2106" spans="37:43">
      <c r="AK2106" s="145"/>
      <c r="AL2106" s="145"/>
      <c r="AM2106" s="145"/>
      <c r="AN2106" s="145"/>
      <c r="AO2106" s="145"/>
      <c r="AP2106" s="145"/>
      <c r="AQ2106" s="145"/>
    </row>
    <row r="2107" spans="37:43">
      <c r="AK2107" s="145"/>
      <c r="AL2107" s="145"/>
      <c r="AM2107" s="145"/>
      <c r="AN2107" s="145"/>
      <c r="AO2107" s="145"/>
      <c r="AP2107" s="145"/>
      <c r="AQ2107" s="145"/>
    </row>
    <row r="2108" spans="37:43">
      <c r="AK2108" s="145"/>
      <c r="AL2108" s="145"/>
      <c r="AM2108" s="145"/>
      <c r="AN2108" s="145"/>
      <c r="AO2108" s="145"/>
      <c r="AP2108" s="145"/>
      <c r="AQ2108" s="145"/>
    </row>
    <row r="2109" spans="37:43">
      <c r="AK2109" s="145"/>
      <c r="AL2109" s="145"/>
      <c r="AM2109" s="145"/>
      <c r="AN2109" s="145"/>
      <c r="AO2109" s="145"/>
      <c r="AP2109" s="145"/>
      <c r="AQ2109" s="145"/>
    </row>
    <row r="2110" spans="37:43">
      <c r="AK2110" s="145"/>
      <c r="AL2110" s="145"/>
      <c r="AM2110" s="145"/>
      <c r="AN2110" s="145"/>
      <c r="AO2110" s="145"/>
      <c r="AP2110" s="145"/>
      <c r="AQ2110" s="145"/>
    </row>
    <row r="2111" spans="37:43">
      <c r="AK2111" s="145"/>
      <c r="AL2111" s="145"/>
      <c r="AM2111" s="145"/>
      <c r="AN2111" s="145"/>
      <c r="AO2111" s="145"/>
      <c r="AP2111" s="145"/>
      <c r="AQ2111" s="145"/>
    </row>
    <row r="2112" spans="37:43">
      <c r="AK2112" s="145"/>
      <c r="AL2112" s="145"/>
      <c r="AM2112" s="145"/>
      <c r="AN2112" s="145"/>
      <c r="AO2112" s="145"/>
      <c r="AP2112" s="145"/>
      <c r="AQ2112" s="145"/>
    </row>
    <row r="2113" spans="37:43">
      <c r="AK2113" s="145"/>
      <c r="AL2113" s="145"/>
      <c r="AM2113" s="145"/>
      <c r="AN2113" s="145"/>
      <c r="AO2113" s="145"/>
      <c r="AP2113" s="145"/>
      <c r="AQ2113" s="145"/>
    </row>
    <row r="2114" spans="37:43">
      <c r="AK2114" s="145"/>
      <c r="AL2114" s="145"/>
      <c r="AM2114" s="145"/>
      <c r="AN2114" s="145"/>
      <c r="AO2114" s="145"/>
      <c r="AP2114" s="145"/>
      <c r="AQ2114" s="145"/>
    </row>
    <row r="2115" spans="37:43">
      <c r="AK2115" s="145"/>
      <c r="AL2115" s="145"/>
      <c r="AM2115" s="145"/>
      <c r="AN2115" s="145"/>
      <c r="AO2115" s="145"/>
      <c r="AP2115" s="145"/>
      <c r="AQ2115" s="145"/>
    </row>
    <row r="2116" spans="37:43">
      <c r="AK2116" s="145"/>
      <c r="AL2116" s="145"/>
      <c r="AM2116" s="145"/>
      <c r="AN2116" s="145"/>
      <c r="AO2116" s="145"/>
      <c r="AP2116" s="145"/>
      <c r="AQ2116" s="145"/>
    </row>
    <row r="2117" spans="37:43">
      <c r="AK2117" s="145"/>
      <c r="AL2117" s="145"/>
      <c r="AM2117" s="145"/>
      <c r="AN2117" s="145"/>
      <c r="AO2117" s="145"/>
      <c r="AP2117" s="145"/>
      <c r="AQ2117" s="145"/>
    </row>
    <row r="2118" spans="37:43">
      <c r="AK2118" s="145"/>
      <c r="AL2118" s="145"/>
      <c r="AM2118" s="145"/>
      <c r="AN2118" s="145"/>
      <c r="AO2118" s="145"/>
      <c r="AP2118" s="145"/>
      <c r="AQ2118" s="145"/>
    </row>
    <row r="2119" spans="37:43">
      <c r="AK2119" s="145"/>
      <c r="AL2119" s="145"/>
      <c r="AM2119" s="145"/>
      <c r="AN2119" s="145"/>
      <c r="AO2119" s="145"/>
      <c r="AP2119" s="145"/>
      <c r="AQ2119" s="145"/>
    </row>
    <row r="2120" spans="37:43">
      <c r="AK2120" s="145"/>
      <c r="AL2120" s="145"/>
      <c r="AM2120" s="145"/>
      <c r="AN2120" s="145"/>
      <c r="AO2120" s="145"/>
      <c r="AP2120" s="145"/>
      <c r="AQ2120" s="145"/>
    </row>
    <row r="2121" spans="37:43">
      <c r="AK2121" s="145"/>
      <c r="AL2121" s="145"/>
      <c r="AM2121" s="145"/>
      <c r="AN2121" s="145"/>
      <c r="AO2121" s="145"/>
      <c r="AP2121" s="145"/>
      <c r="AQ2121" s="145"/>
    </row>
    <row r="2122" spans="37:43">
      <c r="AK2122" s="145"/>
      <c r="AL2122" s="145"/>
      <c r="AM2122" s="145"/>
      <c r="AN2122" s="145"/>
      <c r="AO2122" s="145"/>
      <c r="AP2122" s="145"/>
      <c r="AQ2122" s="145"/>
    </row>
    <row r="2123" spans="37:43">
      <c r="AK2123" s="145"/>
      <c r="AL2123" s="145"/>
      <c r="AM2123" s="145"/>
      <c r="AN2123" s="145"/>
      <c r="AO2123" s="145"/>
      <c r="AP2123" s="145"/>
      <c r="AQ2123" s="145"/>
    </row>
    <row r="2124" spans="37:43">
      <c r="AK2124" s="145"/>
      <c r="AL2124" s="145"/>
      <c r="AM2124" s="145"/>
      <c r="AN2124" s="145"/>
      <c r="AO2124" s="145"/>
      <c r="AP2124" s="145"/>
      <c r="AQ2124" s="145"/>
    </row>
    <row r="2125" spans="37:43">
      <c r="AK2125" s="145"/>
      <c r="AL2125" s="145"/>
      <c r="AM2125" s="145"/>
      <c r="AN2125" s="145"/>
      <c r="AO2125" s="145"/>
      <c r="AP2125" s="145"/>
      <c r="AQ2125" s="145"/>
    </row>
    <row r="2126" spans="37:43">
      <c r="AK2126" s="145"/>
      <c r="AL2126" s="145"/>
      <c r="AM2126" s="145"/>
      <c r="AN2126" s="145"/>
      <c r="AO2126" s="145"/>
      <c r="AP2126" s="145"/>
      <c r="AQ2126" s="145"/>
    </row>
    <row r="2127" spans="37:43">
      <c r="AK2127" s="145"/>
      <c r="AL2127" s="145"/>
      <c r="AM2127" s="145"/>
      <c r="AN2127" s="145"/>
      <c r="AO2127" s="145"/>
      <c r="AP2127" s="145"/>
      <c r="AQ2127" s="145"/>
    </row>
    <row r="2128" spans="37:43">
      <c r="AK2128" s="145"/>
      <c r="AL2128" s="145"/>
      <c r="AM2128" s="145"/>
      <c r="AN2128" s="145"/>
      <c r="AO2128" s="145"/>
      <c r="AP2128" s="145"/>
      <c r="AQ2128" s="145"/>
    </row>
    <row r="2129" spans="37:43">
      <c r="AK2129" s="145"/>
      <c r="AL2129" s="145"/>
      <c r="AM2129" s="145"/>
      <c r="AN2129" s="145"/>
      <c r="AO2129" s="145"/>
      <c r="AP2129" s="145"/>
      <c r="AQ2129" s="145"/>
    </row>
    <row r="2130" spans="37:43">
      <c r="AK2130" s="145"/>
      <c r="AL2130" s="145"/>
      <c r="AM2130" s="145"/>
      <c r="AN2130" s="145"/>
      <c r="AO2130" s="145"/>
      <c r="AP2130" s="145"/>
      <c r="AQ2130" s="145"/>
    </row>
    <row r="2131" spans="37:43">
      <c r="AK2131" s="145"/>
      <c r="AL2131" s="145"/>
      <c r="AM2131" s="145"/>
      <c r="AN2131" s="145"/>
      <c r="AO2131" s="145"/>
      <c r="AP2131" s="145"/>
      <c r="AQ2131" s="145"/>
    </row>
    <row r="2132" spans="37:43">
      <c r="AK2132" s="145"/>
      <c r="AL2132" s="145"/>
      <c r="AM2132" s="145"/>
      <c r="AN2132" s="145"/>
      <c r="AO2132" s="145"/>
      <c r="AP2132" s="145"/>
      <c r="AQ2132" s="145"/>
    </row>
    <row r="2133" spans="37:43">
      <c r="AK2133" s="145"/>
      <c r="AL2133" s="145"/>
      <c r="AM2133" s="145"/>
      <c r="AN2133" s="145"/>
      <c r="AO2133" s="145"/>
      <c r="AP2133" s="145"/>
      <c r="AQ2133" s="145"/>
    </row>
    <row r="2134" spans="37:43">
      <c r="AK2134" s="145"/>
      <c r="AL2134" s="145"/>
      <c r="AM2134" s="145"/>
      <c r="AN2134" s="145"/>
      <c r="AO2134" s="145"/>
      <c r="AP2134" s="145"/>
      <c r="AQ2134" s="145"/>
    </row>
    <row r="2135" spans="37:43">
      <c r="AK2135" s="145"/>
      <c r="AL2135" s="145"/>
      <c r="AM2135" s="145"/>
      <c r="AN2135" s="145"/>
      <c r="AO2135" s="145"/>
      <c r="AP2135" s="145"/>
      <c r="AQ2135" s="145"/>
    </row>
    <row r="2136" spans="37:43">
      <c r="AK2136" s="145"/>
      <c r="AL2136" s="145"/>
      <c r="AM2136" s="145"/>
      <c r="AN2136" s="145"/>
      <c r="AO2136" s="145"/>
      <c r="AP2136" s="145"/>
      <c r="AQ2136" s="145"/>
    </row>
    <row r="2137" spans="37:43">
      <c r="AK2137" s="145"/>
      <c r="AL2137" s="145"/>
      <c r="AM2137" s="145"/>
      <c r="AN2137" s="145"/>
      <c r="AO2137" s="145"/>
      <c r="AP2137" s="145"/>
      <c r="AQ2137" s="145"/>
    </row>
    <row r="2138" spans="37:43">
      <c r="AK2138" s="145"/>
      <c r="AL2138" s="145"/>
      <c r="AM2138" s="145"/>
      <c r="AN2138" s="145"/>
      <c r="AO2138" s="145"/>
      <c r="AP2138" s="145"/>
      <c r="AQ2138" s="145"/>
    </row>
    <row r="2139" spans="37:43">
      <c r="AK2139" s="145"/>
      <c r="AL2139" s="145"/>
      <c r="AM2139" s="145"/>
      <c r="AN2139" s="145"/>
      <c r="AO2139" s="145"/>
      <c r="AP2139" s="145"/>
      <c r="AQ2139" s="145"/>
    </row>
    <row r="2140" spans="37:43">
      <c r="AK2140" s="145"/>
      <c r="AL2140" s="145"/>
      <c r="AM2140" s="145"/>
      <c r="AN2140" s="145"/>
      <c r="AO2140" s="145"/>
      <c r="AP2140" s="145"/>
      <c r="AQ2140" s="145"/>
    </row>
    <row r="2141" spans="37:43">
      <c r="AK2141" s="145"/>
      <c r="AL2141" s="145"/>
      <c r="AM2141" s="145"/>
      <c r="AN2141" s="145"/>
      <c r="AO2141" s="145"/>
      <c r="AP2141" s="145"/>
      <c r="AQ2141" s="145"/>
    </row>
    <row r="2142" spans="37:43">
      <c r="AK2142" s="145"/>
      <c r="AL2142" s="145"/>
      <c r="AM2142" s="145"/>
      <c r="AN2142" s="145"/>
      <c r="AO2142" s="145"/>
      <c r="AP2142" s="145"/>
      <c r="AQ2142" s="145"/>
    </row>
    <row r="2143" spans="37:43">
      <c r="AK2143" s="145"/>
      <c r="AL2143" s="145"/>
      <c r="AM2143" s="145"/>
      <c r="AN2143" s="145"/>
      <c r="AO2143" s="145"/>
      <c r="AP2143" s="145"/>
      <c r="AQ2143" s="145"/>
    </row>
    <row r="2144" spans="37:43">
      <c r="AK2144" s="145"/>
      <c r="AL2144" s="145"/>
      <c r="AM2144" s="145"/>
      <c r="AN2144" s="145"/>
      <c r="AO2144" s="145"/>
      <c r="AP2144" s="145"/>
      <c r="AQ2144" s="145"/>
    </row>
    <row r="2145" spans="37:43">
      <c r="AK2145" s="145"/>
      <c r="AL2145" s="145"/>
      <c r="AM2145" s="145"/>
      <c r="AN2145" s="145"/>
      <c r="AO2145" s="145"/>
      <c r="AP2145" s="145"/>
      <c r="AQ2145" s="145"/>
    </row>
    <row r="2146" spans="37:43">
      <c r="AK2146" s="145"/>
      <c r="AL2146" s="145"/>
      <c r="AM2146" s="145"/>
      <c r="AN2146" s="145"/>
      <c r="AO2146" s="145"/>
      <c r="AP2146" s="145"/>
      <c r="AQ2146" s="145"/>
    </row>
    <row r="2147" spans="37:43">
      <c r="AK2147" s="145"/>
      <c r="AL2147" s="145"/>
      <c r="AM2147" s="145"/>
      <c r="AN2147" s="145"/>
      <c r="AO2147" s="145"/>
      <c r="AP2147" s="145"/>
      <c r="AQ2147" s="145"/>
    </row>
    <row r="2148" spans="37:43">
      <c r="AK2148" s="145"/>
      <c r="AL2148" s="145"/>
      <c r="AM2148" s="145"/>
      <c r="AN2148" s="145"/>
      <c r="AO2148" s="145"/>
      <c r="AP2148" s="145"/>
      <c r="AQ2148" s="145"/>
    </row>
    <row r="2149" spans="37:43">
      <c r="AK2149" s="145"/>
      <c r="AL2149" s="145"/>
      <c r="AM2149" s="145"/>
      <c r="AN2149" s="145"/>
      <c r="AO2149" s="145"/>
      <c r="AP2149" s="145"/>
      <c r="AQ2149" s="145"/>
    </row>
    <row r="2150" spans="37:43">
      <c r="AK2150" s="145"/>
      <c r="AL2150" s="145"/>
      <c r="AM2150" s="145"/>
      <c r="AN2150" s="145"/>
      <c r="AO2150" s="145"/>
      <c r="AP2150" s="145"/>
      <c r="AQ2150" s="145"/>
    </row>
    <row r="2151" spans="37:43">
      <c r="AK2151" s="145"/>
      <c r="AL2151" s="145"/>
      <c r="AM2151" s="145"/>
      <c r="AN2151" s="145"/>
      <c r="AO2151" s="145"/>
      <c r="AP2151" s="145"/>
      <c r="AQ2151" s="145"/>
    </row>
    <row r="2152" spans="37:43">
      <c r="AK2152" s="145"/>
      <c r="AL2152" s="145"/>
      <c r="AM2152" s="145"/>
      <c r="AN2152" s="145"/>
      <c r="AO2152" s="145"/>
      <c r="AP2152" s="145"/>
      <c r="AQ2152" s="145"/>
    </row>
    <row r="2153" spans="37:43">
      <c r="AK2153" s="145"/>
      <c r="AL2153" s="145"/>
      <c r="AM2153" s="145"/>
      <c r="AN2153" s="145"/>
      <c r="AO2153" s="145"/>
      <c r="AP2153" s="145"/>
      <c r="AQ2153" s="145"/>
    </row>
    <row r="2154" spans="37:43">
      <c r="AK2154" s="145"/>
      <c r="AL2154" s="145"/>
      <c r="AM2154" s="145"/>
      <c r="AN2154" s="145"/>
      <c r="AO2154" s="145"/>
      <c r="AP2154" s="145"/>
      <c r="AQ2154" s="145"/>
    </row>
    <row r="2155" spans="37:43">
      <c r="AK2155" s="145"/>
      <c r="AL2155" s="145"/>
      <c r="AM2155" s="145"/>
      <c r="AN2155" s="145"/>
      <c r="AO2155" s="145"/>
      <c r="AP2155" s="145"/>
      <c r="AQ2155" s="145"/>
    </row>
    <row r="2156" spans="37:43">
      <c r="AK2156" s="145"/>
      <c r="AL2156" s="145"/>
      <c r="AM2156" s="145"/>
      <c r="AN2156" s="145"/>
      <c r="AO2156" s="145"/>
      <c r="AP2156" s="145"/>
      <c r="AQ2156" s="145"/>
    </row>
    <row r="2157" spans="37:43">
      <c r="AK2157" s="145"/>
      <c r="AL2157" s="145"/>
      <c r="AM2157" s="145"/>
      <c r="AN2157" s="145"/>
      <c r="AO2157" s="145"/>
      <c r="AP2157" s="145"/>
      <c r="AQ2157" s="145"/>
    </row>
    <row r="2158" spans="37:43">
      <c r="AK2158" s="145"/>
      <c r="AL2158" s="145"/>
      <c r="AM2158" s="145"/>
      <c r="AN2158" s="145"/>
      <c r="AO2158" s="145"/>
      <c r="AP2158" s="145"/>
      <c r="AQ2158" s="145"/>
    </row>
    <row r="2159" spans="37:43">
      <c r="AK2159" s="145"/>
      <c r="AL2159" s="145"/>
      <c r="AM2159" s="145"/>
      <c r="AN2159" s="145"/>
      <c r="AO2159" s="145"/>
      <c r="AP2159" s="145"/>
      <c r="AQ2159" s="145"/>
    </row>
    <row r="2160" spans="37:43">
      <c r="AK2160" s="145"/>
      <c r="AL2160" s="145"/>
      <c r="AM2160" s="145"/>
      <c r="AN2160" s="145"/>
      <c r="AO2160" s="145"/>
      <c r="AP2160" s="145"/>
      <c r="AQ2160" s="145"/>
    </row>
    <row r="2161" spans="37:43">
      <c r="AK2161" s="145"/>
      <c r="AL2161" s="145"/>
      <c r="AM2161" s="145"/>
      <c r="AN2161" s="145"/>
      <c r="AO2161" s="145"/>
      <c r="AP2161" s="145"/>
      <c r="AQ2161" s="145"/>
    </row>
    <row r="2162" spans="37:43">
      <c r="AK2162" s="145"/>
      <c r="AL2162" s="145"/>
      <c r="AM2162" s="145"/>
      <c r="AN2162" s="145"/>
      <c r="AO2162" s="145"/>
      <c r="AP2162" s="145"/>
      <c r="AQ2162" s="145"/>
    </row>
    <row r="2163" spans="37:43">
      <c r="AK2163" s="145"/>
      <c r="AL2163" s="145"/>
      <c r="AM2163" s="145"/>
      <c r="AN2163" s="145"/>
      <c r="AO2163" s="145"/>
      <c r="AP2163" s="145"/>
      <c r="AQ2163" s="145"/>
    </row>
    <row r="2164" spans="37:43">
      <c r="AK2164" s="145"/>
      <c r="AL2164" s="145"/>
      <c r="AM2164" s="145"/>
      <c r="AN2164" s="145"/>
      <c r="AO2164" s="145"/>
      <c r="AP2164" s="145"/>
      <c r="AQ2164" s="145"/>
    </row>
    <row r="2165" spans="37:43">
      <c r="AK2165" s="145"/>
      <c r="AL2165" s="145"/>
      <c r="AM2165" s="145"/>
      <c r="AN2165" s="145"/>
      <c r="AO2165" s="145"/>
      <c r="AP2165" s="145"/>
      <c r="AQ2165" s="145"/>
    </row>
    <row r="2166" spans="37:43">
      <c r="AK2166" s="145"/>
      <c r="AL2166" s="145"/>
      <c r="AM2166" s="145"/>
      <c r="AN2166" s="145"/>
      <c r="AO2166" s="145"/>
      <c r="AP2166" s="145"/>
      <c r="AQ2166" s="145"/>
    </row>
    <row r="2167" spans="37:43">
      <c r="AK2167" s="145"/>
      <c r="AL2167" s="145"/>
      <c r="AM2167" s="145"/>
      <c r="AN2167" s="145"/>
      <c r="AO2167" s="145"/>
      <c r="AP2167" s="145"/>
      <c r="AQ2167" s="145"/>
    </row>
    <row r="2168" spans="37:43">
      <c r="AK2168" s="145"/>
      <c r="AL2168" s="145"/>
      <c r="AM2168" s="145"/>
      <c r="AN2168" s="145"/>
      <c r="AO2168" s="145"/>
      <c r="AP2168" s="145"/>
      <c r="AQ2168" s="145"/>
    </row>
    <row r="2169" spans="37:43">
      <c r="AK2169" s="145"/>
      <c r="AL2169" s="145"/>
      <c r="AM2169" s="145"/>
      <c r="AN2169" s="145"/>
      <c r="AO2169" s="145"/>
      <c r="AP2169" s="145"/>
      <c r="AQ2169" s="145"/>
    </row>
    <row r="2170" spans="37:43">
      <c r="AK2170" s="145"/>
      <c r="AL2170" s="145"/>
      <c r="AM2170" s="145"/>
      <c r="AN2170" s="145"/>
      <c r="AO2170" s="145"/>
      <c r="AP2170" s="145"/>
      <c r="AQ2170" s="145"/>
    </row>
    <row r="2171" spans="37:43">
      <c r="AK2171" s="145"/>
      <c r="AL2171" s="145"/>
      <c r="AM2171" s="145"/>
      <c r="AN2171" s="145"/>
      <c r="AO2171" s="145"/>
      <c r="AP2171" s="145"/>
      <c r="AQ2171" s="145"/>
    </row>
    <row r="2172" spans="37:43">
      <c r="AK2172" s="145"/>
      <c r="AL2172" s="145"/>
      <c r="AM2172" s="145"/>
      <c r="AN2172" s="145"/>
      <c r="AO2172" s="145"/>
      <c r="AP2172" s="145"/>
      <c r="AQ2172" s="145"/>
    </row>
    <row r="2173" spans="37:43">
      <c r="AK2173" s="145"/>
      <c r="AL2173" s="145"/>
      <c r="AM2173" s="145"/>
      <c r="AN2173" s="145"/>
      <c r="AO2173" s="145"/>
      <c r="AP2173" s="145"/>
      <c r="AQ2173" s="145"/>
    </row>
    <row r="2174" spans="37:43">
      <c r="AK2174" s="145"/>
      <c r="AL2174" s="145"/>
      <c r="AM2174" s="145"/>
      <c r="AN2174" s="145"/>
      <c r="AO2174" s="145"/>
      <c r="AP2174" s="145"/>
      <c r="AQ2174" s="145"/>
    </row>
    <row r="2175" spans="37:43">
      <c r="AK2175" s="145"/>
      <c r="AL2175" s="145"/>
      <c r="AM2175" s="145"/>
      <c r="AN2175" s="145"/>
      <c r="AO2175" s="145"/>
      <c r="AP2175" s="145"/>
      <c r="AQ2175" s="145"/>
    </row>
    <row r="2176" spans="37:43">
      <c r="AK2176" s="145"/>
      <c r="AL2176" s="145"/>
      <c r="AM2176" s="145"/>
      <c r="AN2176" s="145"/>
      <c r="AO2176" s="145"/>
      <c r="AP2176" s="145"/>
      <c r="AQ2176" s="145"/>
    </row>
    <row r="2177" spans="37:43">
      <c r="AK2177" s="145"/>
      <c r="AL2177" s="145"/>
      <c r="AM2177" s="145"/>
      <c r="AN2177" s="145"/>
      <c r="AO2177" s="145"/>
      <c r="AP2177" s="145"/>
      <c r="AQ2177" s="145"/>
    </row>
    <row r="2178" spans="37:43">
      <c r="AK2178" s="145"/>
      <c r="AL2178" s="145"/>
      <c r="AM2178" s="145"/>
      <c r="AN2178" s="145"/>
      <c r="AO2178" s="145"/>
      <c r="AP2178" s="145"/>
      <c r="AQ2178" s="145"/>
    </row>
    <row r="2179" spans="37:43">
      <c r="AK2179" s="145"/>
      <c r="AL2179" s="145"/>
      <c r="AM2179" s="145"/>
      <c r="AN2179" s="145"/>
      <c r="AO2179" s="145"/>
      <c r="AP2179" s="145"/>
      <c r="AQ2179" s="145"/>
    </row>
    <row r="2180" spans="37:43">
      <c r="AK2180" s="145"/>
      <c r="AL2180" s="145"/>
      <c r="AM2180" s="145"/>
      <c r="AN2180" s="145"/>
      <c r="AO2180" s="145"/>
      <c r="AP2180" s="145"/>
      <c r="AQ2180" s="145"/>
    </row>
    <row r="2181" spans="37:43">
      <c r="AK2181" s="145"/>
      <c r="AL2181" s="145"/>
      <c r="AM2181" s="145"/>
      <c r="AN2181" s="145"/>
      <c r="AO2181" s="145"/>
      <c r="AP2181" s="145"/>
      <c r="AQ2181" s="145"/>
    </row>
    <row r="2182" spans="37:43">
      <c r="AK2182" s="145"/>
      <c r="AL2182" s="145"/>
      <c r="AM2182" s="145"/>
      <c r="AN2182" s="145"/>
      <c r="AO2182" s="145"/>
      <c r="AP2182" s="145"/>
      <c r="AQ2182" s="145"/>
    </row>
    <row r="2183" spans="37:43">
      <c r="AK2183" s="145"/>
      <c r="AL2183" s="145"/>
      <c r="AM2183" s="145"/>
      <c r="AN2183" s="145"/>
      <c r="AO2183" s="145"/>
      <c r="AP2183" s="145"/>
      <c r="AQ2183" s="145"/>
    </row>
    <row r="2184" spans="37:43">
      <c r="AK2184" s="145"/>
      <c r="AL2184" s="145"/>
      <c r="AM2184" s="145"/>
      <c r="AN2184" s="145"/>
      <c r="AO2184" s="145"/>
      <c r="AP2184" s="145"/>
      <c r="AQ2184" s="145"/>
    </row>
    <row r="2185" spans="37:43">
      <c r="AK2185" s="145"/>
      <c r="AL2185" s="145"/>
      <c r="AM2185" s="145"/>
      <c r="AN2185" s="145"/>
      <c r="AO2185" s="145"/>
      <c r="AP2185" s="145"/>
      <c r="AQ2185" s="145"/>
    </row>
    <row r="2186" spans="37:43">
      <c r="AK2186" s="145"/>
      <c r="AL2186" s="145"/>
      <c r="AM2186" s="145"/>
      <c r="AN2186" s="145"/>
      <c r="AO2186" s="145"/>
      <c r="AP2186" s="145"/>
      <c r="AQ2186" s="145"/>
    </row>
    <row r="2187" spans="37:43">
      <c r="AK2187" s="145"/>
      <c r="AL2187" s="145"/>
      <c r="AM2187" s="145"/>
      <c r="AN2187" s="145"/>
      <c r="AO2187" s="145"/>
      <c r="AP2187" s="145"/>
      <c r="AQ2187" s="145"/>
    </row>
    <row r="2188" spans="37:43">
      <c r="AK2188" s="145"/>
      <c r="AL2188" s="145"/>
      <c r="AM2188" s="145"/>
      <c r="AN2188" s="145"/>
      <c r="AO2188" s="145"/>
      <c r="AP2188" s="145"/>
      <c r="AQ2188" s="145"/>
    </row>
    <row r="2189" spans="37:43">
      <c r="AK2189" s="145"/>
      <c r="AL2189" s="145"/>
      <c r="AM2189" s="145"/>
      <c r="AN2189" s="145"/>
      <c r="AO2189" s="145"/>
      <c r="AP2189" s="145"/>
      <c r="AQ2189" s="145"/>
    </row>
    <row r="2190" spans="37:43">
      <c r="AK2190" s="145"/>
      <c r="AL2190" s="145"/>
      <c r="AM2190" s="145"/>
      <c r="AN2190" s="145"/>
      <c r="AO2190" s="145"/>
      <c r="AP2190" s="145"/>
      <c r="AQ2190" s="145"/>
    </row>
    <row r="2191" spans="37:43">
      <c r="AK2191" s="145"/>
      <c r="AL2191" s="145"/>
      <c r="AM2191" s="145"/>
      <c r="AN2191" s="145"/>
      <c r="AO2191" s="145"/>
      <c r="AP2191" s="145"/>
      <c r="AQ2191" s="145"/>
    </row>
    <row r="2192" spans="37:43">
      <c r="AK2192" s="145"/>
      <c r="AL2192" s="145"/>
      <c r="AM2192" s="145"/>
      <c r="AN2192" s="145"/>
      <c r="AO2192" s="145"/>
      <c r="AP2192" s="145"/>
      <c r="AQ2192" s="145"/>
    </row>
    <row r="2193" spans="37:43">
      <c r="AK2193" s="145"/>
      <c r="AL2193" s="145"/>
      <c r="AM2193" s="145"/>
      <c r="AN2193" s="145"/>
      <c r="AO2193" s="145"/>
      <c r="AP2193" s="145"/>
      <c r="AQ2193" s="145"/>
    </row>
    <row r="2194" spans="37:43">
      <c r="AK2194" s="145"/>
      <c r="AL2194" s="145"/>
      <c r="AM2194" s="145"/>
      <c r="AN2194" s="145"/>
      <c r="AO2194" s="145"/>
      <c r="AP2194" s="145"/>
      <c r="AQ2194" s="145"/>
    </row>
    <row r="2195" spans="37:43">
      <c r="AK2195" s="145"/>
      <c r="AL2195" s="145"/>
      <c r="AM2195" s="145"/>
      <c r="AN2195" s="145"/>
      <c r="AO2195" s="145"/>
      <c r="AP2195" s="145"/>
      <c r="AQ2195" s="145"/>
    </row>
    <row r="2196" spans="37:43">
      <c r="AK2196" s="145"/>
      <c r="AL2196" s="145"/>
      <c r="AM2196" s="145"/>
      <c r="AN2196" s="145"/>
      <c r="AO2196" s="145"/>
      <c r="AP2196" s="145"/>
      <c r="AQ2196" s="145"/>
    </row>
    <row r="2197" spans="37:43">
      <c r="AK2197" s="145"/>
      <c r="AL2197" s="145"/>
      <c r="AM2197" s="145"/>
      <c r="AN2197" s="145"/>
      <c r="AO2197" s="145"/>
      <c r="AP2197" s="145"/>
      <c r="AQ2197" s="145"/>
    </row>
    <row r="2198" spans="37:43">
      <c r="AK2198" s="145"/>
      <c r="AL2198" s="145"/>
      <c r="AM2198" s="145"/>
      <c r="AN2198" s="145"/>
      <c r="AO2198" s="145"/>
      <c r="AP2198" s="145"/>
      <c r="AQ2198" s="145"/>
    </row>
    <row r="2199" spans="37:43">
      <c r="AK2199" s="145"/>
      <c r="AL2199" s="145"/>
      <c r="AM2199" s="145"/>
      <c r="AN2199" s="145"/>
      <c r="AO2199" s="145"/>
      <c r="AP2199" s="145"/>
      <c r="AQ2199" s="145"/>
    </row>
    <row r="2200" spans="37:43">
      <c r="AK2200" s="145"/>
      <c r="AL2200" s="145"/>
      <c r="AM2200" s="145"/>
      <c r="AN2200" s="145"/>
      <c r="AO2200" s="145"/>
      <c r="AP2200" s="145"/>
      <c r="AQ2200" s="145"/>
    </row>
    <row r="2201" spans="37:43">
      <c r="AK2201" s="145"/>
      <c r="AL2201" s="145"/>
      <c r="AM2201" s="145"/>
      <c r="AN2201" s="145"/>
      <c r="AO2201" s="145"/>
      <c r="AP2201" s="145"/>
      <c r="AQ2201" s="145"/>
    </row>
    <row r="2202" spans="37:43">
      <c r="AK2202" s="145"/>
      <c r="AL2202" s="145"/>
      <c r="AM2202" s="145"/>
      <c r="AN2202" s="145"/>
      <c r="AO2202" s="145"/>
      <c r="AP2202" s="145"/>
      <c r="AQ2202" s="145"/>
    </row>
    <row r="2203" spans="37:43">
      <c r="AK2203" s="145"/>
      <c r="AL2203" s="145"/>
      <c r="AM2203" s="145"/>
      <c r="AN2203" s="145"/>
      <c r="AO2203" s="145"/>
      <c r="AP2203" s="145"/>
      <c r="AQ2203" s="145"/>
    </row>
    <row r="2204" spans="37:43">
      <c r="AK2204" s="145"/>
      <c r="AL2204" s="145"/>
      <c r="AM2204" s="145"/>
      <c r="AN2204" s="145"/>
      <c r="AO2204" s="145"/>
      <c r="AP2204" s="145"/>
      <c r="AQ2204" s="145"/>
    </row>
    <row r="2205" spans="37:43">
      <c r="AK2205" s="145"/>
      <c r="AL2205" s="145"/>
      <c r="AM2205" s="145"/>
      <c r="AN2205" s="145"/>
      <c r="AO2205" s="145"/>
      <c r="AP2205" s="145"/>
      <c r="AQ2205" s="145"/>
    </row>
    <row r="2206" spans="37:43">
      <c r="AK2206" s="145"/>
      <c r="AL2206" s="145"/>
      <c r="AM2206" s="145"/>
      <c r="AN2206" s="145"/>
      <c r="AO2206" s="145"/>
      <c r="AP2206" s="145"/>
      <c r="AQ2206" s="145"/>
    </row>
    <row r="2207" spans="37:43">
      <c r="AK2207" s="145"/>
      <c r="AL2207" s="145"/>
      <c r="AM2207" s="145"/>
      <c r="AN2207" s="145"/>
      <c r="AO2207" s="145"/>
      <c r="AP2207" s="145"/>
      <c r="AQ2207" s="145"/>
    </row>
    <row r="2208" spans="37:43">
      <c r="AK2208" s="145"/>
      <c r="AL2208" s="145"/>
      <c r="AM2208" s="145"/>
      <c r="AN2208" s="145"/>
      <c r="AO2208" s="145"/>
      <c r="AP2208" s="145"/>
      <c r="AQ2208" s="145"/>
    </row>
    <row r="2209" spans="37:43">
      <c r="AK2209" s="145"/>
      <c r="AL2209" s="145"/>
      <c r="AM2209" s="145"/>
      <c r="AN2209" s="145"/>
      <c r="AO2209" s="145"/>
      <c r="AP2209" s="145"/>
      <c r="AQ2209" s="145"/>
    </row>
    <row r="2210" spans="37:43">
      <c r="AK2210" s="145"/>
      <c r="AL2210" s="145"/>
      <c r="AM2210" s="145"/>
      <c r="AN2210" s="145"/>
      <c r="AO2210" s="145"/>
      <c r="AP2210" s="145"/>
      <c r="AQ2210" s="145"/>
    </row>
    <row r="2211" spans="37:43">
      <c r="AK2211" s="145"/>
      <c r="AL2211" s="145"/>
      <c r="AM2211" s="145"/>
      <c r="AN2211" s="145"/>
      <c r="AO2211" s="145"/>
      <c r="AP2211" s="145"/>
      <c r="AQ2211" s="145"/>
    </row>
    <row r="2212" spans="37:43">
      <c r="AK2212" s="145"/>
      <c r="AL2212" s="145"/>
      <c r="AM2212" s="145"/>
      <c r="AN2212" s="145"/>
      <c r="AO2212" s="145"/>
      <c r="AP2212" s="145"/>
      <c r="AQ2212" s="145"/>
    </row>
    <row r="2213" spans="37:43">
      <c r="AK2213" s="145"/>
      <c r="AL2213" s="145"/>
      <c r="AM2213" s="145"/>
      <c r="AN2213" s="145"/>
      <c r="AO2213" s="145"/>
      <c r="AP2213" s="145"/>
      <c r="AQ2213" s="145"/>
    </row>
    <row r="2214" spans="37:43">
      <c r="AK2214" s="145"/>
      <c r="AL2214" s="145"/>
      <c r="AM2214" s="145"/>
      <c r="AN2214" s="145"/>
      <c r="AO2214" s="145"/>
      <c r="AP2214" s="145"/>
      <c r="AQ2214" s="145"/>
    </row>
    <row r="2215" spans="37:43">
      <c r="AK2215" s="145"/>
      <c r="AL2215" s="145"/>
      <c r="AM2215" s="145"/>
      <c r="AN2215" s="145"/>
      <c r="AO2215" s="145"/>
      <c r="AP2215" s="145"/>
      <c r="AQ2215" s="145"/>
    </row>
    <row r="2216" spans="37:43">
      <c r="AK2216" s="145"/>
      <c r="AL2216" s="145"/>
      <c r="AM2216" s="145"/>
      <c r="AN2216" s="145"/>
      <c r="AO2216" s="145"/>
      <c r="AP2216" s="145"/>
      <c r="AQ2216" s="145"/>
    </row>
    <row r="2217" spans="37:43">
      <c r="AK2217" s="145"/>
      <c r="AL2217" s="145"/>
      <c r="AM2217" s="145"/>
      <c r="AN2217" s="145"/>
      <c r="AO2217" s="145"/>
      <c r="AP2217" s="145"/>
      <c r="AQ2217" s="145"/>
    </row>
    <row r="2218" spans="37:43">
      <c r="AK2218" s="145"/>
      <c r="AL2218" s="145"/>
      <c r="AM2218" s="145"/>
      <c r="AN2218" s="145"/>
      <c r="AO2218" s="145"/>
      <c r="AP2218" s="145"/>
      <c r="AQ2218" s="145"/>
    </row>
    <row r="2219" spans="37:43">
      <c r="AK2219" s="145"/>
      <c r="AL2219" s="145"/>
      <c r="AM2219" s="145"/>
      <c r="AN2219" s="145"/>
      <c r="AO2219" s="145"/>
      <c r="AP2219" s="145"/>
      <c r="AQ2219" s="145"/>
    </row>
    <row r="2220" spans="37:43">
      <c r="AK2220" s="145"/>
      <c r="AL2220" s="145"/>
      <c r="AM2220" s="145"/>
      <c r="AN2220" s="145"/>
      <c r="AO2220" s="145"/>
      <c r="AP2220" s="145"/>
      <c r="AQ2220" s="145"/>
    </row>
    <row r="2221" spans="37:43">
      <c r="AK2221" s="145"/>
      <c r="AL2221" s="145"/>
      <c r="AM2221" s="145"/>
      <c r="AN2221" s="145"/>
      <c r="AO2221" s="145"/>
      <c r="AP2221" s="145"/>
      <c r="AQ2221" s="145"/>
    </row>
    <row r="2222" spans="37:43">
      <c r="AK2222" s="145"/>
      <c r="AL2222" s="145"/>
      <c r="AM2222" s="145"/>
      <c r="AN2222" s="145"/>
      <c r="AO2222" s="145"/>
      <c r="AP2222" s="145"/>
      <c r="AQ2222" s="145"/>
    </row>
    <row r="2223" spans="37:43">
      <c r="AK2223" s="145"/>
      <c r="AL2223" s="145"/>
      <c r="AM2223" s="145"/>
      <c r="AN2223" s="145"/>
      <c r="AO2223" s="145"/>
      <c r="AP2223" s="145"/>
      <c r="AQ2223" s="145"/>
    </row>
    <row r="2224" spans="37:43">
      <c r="AK2224" s="145"/>
      <c r="AL2224" s="145"/>
      <c r="AM2224" s="145"/>
      <c r="AN2224" s="145"/>
      <c r="AO2224" s="145"/>
      <c r="AP2224" s="145"/>
      <c r="AQ2224" s="145"/>
    </row>
    <row r="2225" spans="37:43">
      <c r="AK2225" s="145"/>
      <c r="AL2225" s="145"/>
      <c r="AM2225" s="145"/>
      <c r="AN2225" s="145"/>
      <c r="AO2225" s="145"/>
      <c r="AP2225" s="145"/>
      <c r="AQ2225" s="145"/>
    </row>
    <row r="2226" spans="37:43">
      <c r="AK2226" s="145"/>
      <c r="AL2226" s="145"/>
      <c r="AM2226" s="145"/>
      <c r="AN2226" s="145"/>
      <c r="AO2226" s="145"/>
      <c r="AP2226" s="145"/>
      <c r="AQ2226" s="145"/>
    </row>
    <row r="2227" spans="37:43">
      <c r="AK2227" s="145"/>
      <c r="AL2227" s="145"/>
      <c r="AM2227" s="145"/>
      <c r="AN2227" s="145"/>
      <c r="AO2227" s="145"/>
      <c r="AP2227" s="145"/>
      <c r="AQ2227" s="145"/>
    </row>
    <row r="2228" spans="37:43">
      <c r="AK2228" s="145"/>
      <c r="AL2228" s="145"/>
      <c r="AM2228" s="145"/>
      <c r="AN2228" s="145"/>
      <c r="AO2228" s="145"/>
      <c r="AP2228" s="145"/>
      <c r="AQ2228" s="145"/>
    </row>
    <row r="2229" spans="37:43">
      <c r="AK2229" s="145"/>
      <c r="AL2229" s="145"/>
      <c r="AM2229" s="145"/>
      <c r="AN2229" s="145"/>
      <c r="AO2229" s="145"/>
      <c r="AP2229" s="145"/>
      <c r="AQ2229" s="145"/>
    </row>
    <row r="2230" spans="37:43">
      <c r="AK2230" s="145"/>
      <c r="AL2230" s="145"/>
      <c r="AM2230" s="145"/>
      <c r="AN2230" s="145"/>
      <c r="AO2230" s="145"/>
      <c r="AP2230" s="145"/>
      <c r="AQ2230" s="145"/>
    </row>
    <row r="2231" spans="37:43">
      <c r="AK2231" s="145"/>
      <c r="AL2231" s="145"/>
      <c r="AM2231" s="145"/>
      <c r="AN2231" s="145"/>
      <c r="AO2231" s="145"/>
      <c r="AP2231" s="145"/>
      <c r="AQ2231" s="145"/>
    </row>
    <row r="2232" spans="37:43">
      <c r="AK2232" s="145"/>
      <c r="AL2232" s="145"/>
      <c r="AM2232" s="145"/>
      <c r="AN2232" s="145"/>
      <c r="AO2232" s="145"/>
      <c r="AP2232" s="145"/>
      <c r="AQ2232" s="145"/>
    </row>
    <row r="2233" spans="37:43">
      <c r="AK2233" s="145"/>
      <c r="AL2233" s="145"/>
      <c r="AM2233" s="145"/>
      <c r="AN2233" s="145"/>
      <c r="AO2233" s="145"/>
      <c r="AP2233" s="145"/>
      <c r="AQ2233" s="145"/>
    </row>
    <row r="2234" spans="37:43">
      <c r="AK2234" s="145"/>
      <c r="AL2234" s="145"/>
      <c r="AM2234" s="145"/>
      <c r="AN2234" s="145"/>
      <c r="AO2234" s="145"/>
      <c r="AP2234" s="145"/>
      <c r="AQ2234" s="145"/>
    </row>
    <row r="2235" spans="37:43">
      <c r="AK2235" s="145"/>
      <c r="AL2235" s="145"/>
      <c r="AM2235" s="145"/>
      <c r="AN2235" s="145"/>
      <c r="AO2235" s="145"/>
      <c r="AP2235" s="145"/>
      <c r="AQ2235" s="145"/>
    </row>
    <row r="2236" spans="37:43">
      <c r="AK2236" s="145"/>
      <c r="AL2236" s="145"/>
      <c r="AM2236" s="145"/>
      <c r="AN2236" s="145"/>
      <c r="AO2236" s="145"/>
      <c r="AP2236" s="145"/>
      <c r="AQ2236" s="145"/>
    </row>
    <row r="2237" spans="37:43">
      <c r="AK2237" s="145"/>
      <c r="AL2237" s="145"/>
      <c r="AM2237" s="145"/>
      <c r="AN2237" s="145"/>
      <c r="AO2237" s="145"/>
      <c r="AP2237" s="145"/>
      <c r="AQ2237" s="145"/>
    </row>
    <row r="2238" spans="37:43">
      <c r="AK2238" s="145"/>
      <c r="AL2238" s="145"/>
      <c r="AM2238" s="145"/>
      <c r="AN2238" s="145"/>
      <c r="AO2238" s="145"/>
      <c r="AP2238" s="145"/>
      <c r="AQ2238" s="145"/>
    </row>
    <row r="2239" spans="37:43">
      <c r="AK2239" s="145"/>
      <c r="AL2239" s="145"/>
      <c r="AM2239" s="145"/>
      <c r="AN2239" s="145"/>
      <c r="AO2239" s="145"/>
      <c r="AP2239" s="145"/>
      <c r="AQ2239" s="145"/>
    </row>
    <row r="2240" spans="37:43">
      <c r="AK2240" s="145"/>
      <c r="AL2240" s="145"/>
      <c r="AM2240" s="145"/>
      <c r="AN2240" s="145"/>
      <c r="AO2240" s="145"/>
      <c r="AP2240" s="145"/>
      <c r="AQ2240" s="145"/>
    </row>
    <row r="2241" spans="37:43">
      <c r="AK2241" s="145"/>
      <c r="AL2241" s="145"/>
      <c r="AM2241" s="145"/>
      <c r="AN2241" s="145"/>
      <c r="AO2241" s="145"/>
      <c r="AP2241" s="145"/>
      <c r="AQ2241" s="145"/>
    </row>
    <row r="2242" spans="37:43">
      <c r="AK2242" s="145"/>
      <c r="AL2242" s="145"/>
      <c r="AM2242" s="145"/>
      <c r="AN2242" s="145"/>
      <c r="AO2242" s="145"/>
      <c r="AP2242" s="145"/>
      <c r="AQ2242" s="145"/>
    </row>
    <row r="2243" spans="37:43">
      <c r="AK2243" s="145"/>
      <c r="AL2243" s="145"/>
      <c r="AM2243" s="145"/>
      <c r="AN2243" s="145"/>
      <c r="AO2243" s="145"/>
      <c r="AP2243" s="145"/>
      <c r="AQ2243" s="145"/>
    </row>
    <row r="2244" spans="37:43">
      <c r="AK2244" s="145"/>
      <c r="AL2244" s="145"/>
      <c r="AM2244" s="145"/>
      <c r="AN2244" s="145"/>
      <c r="AO2244" s="145"/>
      <c r="AP2244" s="145"/>
      <c r="AQ2244" s="145"/>
    </row>
    <row r="2245" spans="37:43">
      <c r="AK2245" s="145"/>
      <c r="AL2245" s="145"/>
      <c r="AM2245" s="145"/>
      <c r="AN2245" s="145"/>
      <c r="AO2245" s="145"/>
      <c r="AP2245" s="145"/>
      <c r="AQ2245" s="145"/>
    </row>
    <row r="2246" spans="37:43">
      <c r="AK2246" s="145"/>
      <c r="AL2246" s="145"/>
      <c r="AM2246" s="145"/>
      <c r="AN2246" s="145"/>
      <c r="AO2246" s="145"/>
      <c r="AP2246" s="145"/>
      <c r="AQ2246" s="145"/>
    </row>
    <row r="2247" spans="37:43">
      <c r="AK2247" s="145"/>
      <c r="AL2247" s="145"/>
      <c r="AM2247" s="145"/>
      <c r="AN2247" s="145"/>
      <c r="AO2247" s="145"/>
      <c r="AP2247" s="145"/>
      <c r="AQ2247" s="145"/>
    </row>
    <row r="2248" spans="37:43">
      <c r="AK2248" s="145"/>
      <c r="AL2248" s="145"/>
      <c r="AM2248" s="145"/>
      <c r="AN2248" s="145"/>
      <c r="AO2248" s="145"/>
      <c r="AP2248" s="145"/>
      <c r="AQ2248" s="145"/>
    </row>
    <row r="2249" spans="37:43">
      <c r="AK2249" s="145"/>
      <c r="AL2249" s="145"/>
      <c r="AM2249" s="145"/>
      <c r="AN2249" s="145"/>
      <c r="AO2249" s="145"/>
      <c r="AP2249" s="145"/>
      <c r="AQ2249" s="145"/>
    </row>
    <row r="2250" spans="37:43">
      <c r="AK2250" s="145"/>
      <c r="AL2250" s="145"/>
      <c r="AM2250" s="145"/>
      <c r="AN2250" s="145"/>
      <c r="AO2250" s="145"/>
      <c r="AP2250" s="145"/>
      <c r="AQ2250" s="145"/>
    </row>
    <row r="2251" spans="37:43">
      <c r="AK2251" s="145"/>
      <c r="AL2251" s="145"/>
      <c r="AM2251" s="145"/>
      <c r="AN2251" s="145"/>
      <c r="AO2251" s="145"/>
      <c r="AP2251" s="145"/>
      <c r="AQ2251" s="145"/>
    </row>
    <row r="2252" spans="37:43">
      <c r="AK2252" s="145"/>
      <c r="AL2252" s="145"/>
      <c r="AM2252" s="145"/>
      <c r="AN2252" s="145"/>
      <c r="AO2252" s="145"/>
      <c r="AP2252" s="145"/>
      <c r="AQ2252" s="145"/>
    </row>
    <row r="2253" spans="37:43">
      <c r="AK2253" s="145"/>
      <c r="AL2253" s="145"/>
      <c r="AM2253" s="145"/>
      <c r="AN2253" s="145"/>
      <c r="AO2253" s="145"/>
      <c r="AP2253" s="145"/>
      <c r="AQ2253" s="145"/>
    </row>
    <row r="2254" spans="37:43">
      <c r="AK2254" s="145"/>
      <c r="AL2254" s="145"/>
      <c r="AM2254" s="145"/>
      <c r="AN2254" s="145"/>
      <c r="AO2254" s="145"/>
      <c r="AP2254" s="145"/>
      <c r="AQ2254" s="145"/>
    </row>
    <row r="2255" spans="37:43">
      <c r="AK2255" s="145"/>
      <c r="AL2255" s="145"/>
      <c r="AM2255" s="145"/>
      <c r="AN2255" s="145"/>
      <c r="AO2255" s="145"/>
      <c r="AP2255" s="145"/>
      <c r="AQ2255" s="145"/>
    </row>
    <row r="2256" spans="37:43">
      <c r="AK2256" s="145"/>
      <c r="AL2256" s="145"/>
      <c r="AM2256" s="145"/>
      <c r="AN2256" s="145"/>
      <c r="AO2256" s="145"/>
      <c r="AP2256" s="145"/>
      <c r="AQ2256" s="145"/>
    </row>
    <row r="2257" spans="37:43">
      <c r="AK2257" s="145"/>
      <c r="AL2257" s="145"/>
      <c r="AM2257" s="145"/>
      <c r="AN2257" s="145"/>
      <c r="AO2257" s="145"/>
      <c r="AP2257" s="145"/>
      <c r="AQ2257" s="145"/>
    </row>
    <row r="2258" spans="37:43">
      <c r="AK2258" s="145"/>
      <c r="AL2258" s="145"/>
      <c r="AM2258" s="145"/>
      <c r="AN2258" s="145"/>
      <c r="AO2258" s="145"/>
      <c r="AP2258" s="145"/>
      <c r="AQ2258" s="145"/>
    </row>
    <row r="2259" spans="37:43">
      <c r="AK2259" s="145"/>
      <c r="AL2259" s="145"/>
      <c r="AM2259" s="145"/>
      <c r="AN2259" s="145"/>
      <c r="AO2259" s="145"/>
      <c r="AP2259" s="145"/>
      <c r="AQ2259" s="145"/>
    </row>
    <row r="2260" spans="37:43">
      <c r="AK2260" s="145"/>
      <c r="AL2260" s="145"/>
      <c r="AM2260" s="145"/>
      <c r="AN2260" s="145"/>
      <c r="AO2260" s="145"/>
      <c r="AP2260" s="145"/>
      <c r="AQ2260" s="145"/>
    </row>
    <row r="2261" spans="37:43">
      <c r="AK2261" s="145"/>
      <c r="AL2261" s="145"/>
      <c r="AM2261" s="145"/>
      <c r="AN2261" s="145"/>
      <c r="AO2261" s="145"/>
      <c r="AP2261" s="145"/>
      <c r="AQ2261" s="145"/>
    </row>
    <row r="2262" spans="37:43">
      <c r="AK2262" s="145"/>
      <c r="AL2262" s="145"/>
      <c r="AM2262" s="145"/>
      <c r="AN2262" s="145"/>
      <c r="AO2262" s="145"/>
      <c r="AP2262" s="145"/>
      <c r="AQ2262" s="145"/>
    </row>
    <row r="2263" spans="37:43">
      <c r="AK2263" s="145"/>
      <c r="AL2263" s="145"/>
      <c r="AM2263" s="145"/>
      <c r="AN2263" s="145"/>
      <c r="AO2263" s="145"/>
      <c r="AP2263" s="145"/>
      <c r="AQ2263" s="145"/>
    </row>
    <row r="2264" spans="37:43">
      <c r="AK2264" s="145"/>
      <c r="AL2264" s="145"/>
      <c r="AM2264" s="145"/>
      <c r="AN2264" s="145"/>
      <c r="AO2264" s="145"/>
      <c r="AP2264" s="145"/>
      <c r="AQ2264" s="145"/>
    </row>
    <row r="2265" spans="37:43">
      <c r="AK2265" s="145"/>
      <c r="AL2265" s="145"/>
      <c r="AM2265" s="145"/>
      <c r="AN2265" s="145"/>
      <c r="AO2265" s="145"/>
      <c r="AP2265" s="145"/>
      <c r="AQ2265" s="145"/>
    </row>
    <row r="2266" spans="37:43">
      <c r="AK2266" s="145"/>
      <c r="AL2266" s="145"/>
      <c r="AM2266" s="145"/>
      <c r="AN2266" s="145"/>
      <c r="AO2266" s="145"/>
      <c r="AP2266" s="145"/>
      <c r="AQ2266" s="145"/>
    </row>
    <row r="2267" spans="37:43">
      <c r="AK2267" s="145"/>
      <c r="AL2267" s="145"/>
      <c r="AM2267" s="145"/>
      <c r="AN2267" s="145"/>
      <c r="AO2267" s="145"/>
      <c r="AP2267" s="145"/>
      <c r="AQ2267" s="145"/>
    </row>
    <row r="2268" spans="37:43">
      <c r="AK2268" s="145"/>
      <c r="AL2268" s="145"/>
      <c r="AM2268" s="145"/>
      <c r="AN2268" s="145"/>
      <c r="AO2268" s="145"/>
      <c r="AP2268" s="145"/>
      <c r="AQ2268" s="145"/>
    </row>
    <row r="2269" spans="37:43">
      <c r="AK2269" s="145"/>
      <c r="AL2269" s="145"/>
      <c r="AM2269" s="145"/>
      <c r="AN2269" s="145"/>
      <c r="AO2269" s="145"/>
      <c r="AP2269" s="145"/>
      <c r="AQ2269" s="145"/>
    </row>
    <row r="2270" spans="37:43">
      <c r="AK2270" s="145"/>
      <c r="AL2270" s="145"/>
      <c r="AM2270" s="145"/>
      <c r="AN2270" s="145"/>
      <c r="AO2270" s="145"/>
      <c r="AP2270" s="145"/>
      <c r="AQ2270" s="145"/>
    </row>
    <row r="2271" spans="37:43">
      <c r="AK2271" s="145"/>
      <c r="AL2271" s="145"/>
      <c r="AM2271" s="145"/>
      <c r="AN2271" s="145"/>
      <c r="AO2271" s="145"/>
      <c r="AP2271" s="145"/>
      <c r="AQ2271" s="145"/>
    </row>
    <row r="2272" spans="37:43">
      <c r="AK2272" s="145"/>
      <c r="AL2272" s="145"/>
      <c r="AM2272" s="145"/>
      <c r="AN2272" s="145"/>
      <c r="AO2272" s="145"/>
      <c r="AP2272" s="145"/>
      <c r="AQ2272" s="145"/>
    </row>
    <row r="2273" spans="37:43">
      <c r="AK2273" s="145"/>
      <c r="AL2273" s="145"/>
      <c r="AM2273" s="145"/>
      <c r="AN2273" s="145"/>
      <c r="AO2273" s="145"/>
      <c r="AP2273" s="145"/>
      <c r="AQ2273" s="145"/>
    </row>
    <row r="2274" spans="37:43">
      <c r="AK2274" s="145"/>
      <c r="AL2274" s="145"/>
      <c r="AM2274" s="145"/>
      <c r="AN2274" s="145"/>
      <c r="AO2274" s="145"/>
      <c r="AP2274" s="145"/>
      <c r="AQ2274" s="145"/>
    </row>
    <row r="2275" spans="37:43">
      <c r="AK2275" s="145"/>
      <c r="AL2275" s="145"/>
      <c r="AM2275" s="145"/>
      <c r="AN2275" s="145"/>
      <c r="AO2275" s="145"/>
      <c r="AP2275" s="145"/>
      <c r="AQ2275" s="145"/>
    </row>
    <row r="2276" spans="37:43">
      <c r="AK2276" s="145"/>
      <c r="AL2276" s="145"/>
      <c r="AM2276" s="145"/>
      <c r="AN2276" s="145"/>
      <c r="AO2276" s="145"/>
      <c r="AP2276" s="145"/>
      <c r="AQ2276" s="145"/>
    </row>
    <row r="2277" spans="37:43">
      <c r="AK2277" s="145"/>
      <c r="AL2277" s="145"/>
      <c r="AM2277" s="145"/>
      <c r="AN2277" s="145"/>
      <c r="AO2277" s="145"/>
      <c r="AP2277" s="145"/>
      <c r="AQ2277" s="145"/>
    </row>
    <row r="2278" spans="37:43">
      <c r="AK2278" s="145"/>
      <c r="AL2278" s="145"/>
      <c r="AM2278" s="145"/>
      <c r="AN2278" s="145"/>
      <c r="AO2278" s="145"/>
      <c r="AP2278" s="145"/>
      <c r="AQ2278" s="145"/>
    </row>
    <row r="2279" spans="37:43">
      <c r="AK2279" s="145"/>
      <c r="AL2279" s="145"/>
      <c r="AM2279" s="145"/>
      <c r="AN2279" s="145"/>
      <c r="AO2279" s="145"/>
      <c r="AP2279" s="145"/>
      <c r="AQ2279" s="145"/>
    </row>
    <row r="2280" spans="37:43">
      <c r="AK2280" s="145"/>
      <c r="AL2280" s="145"/>
      <c r="AM2280" s="145"/>
      <c r="AN2280" s="145"/>
      <c r="AO2280" s="145"/>
      <c r="AP2280" s="145"/>
      <c r="AQ2280" s="145"/>
    </row>
    <row r="2281" spans="37:43">
      <c r="AK2281" s="145"/>
      <c r="AL2281" s="145"/>
      <c r="AM2281" s="145"/>
      <c r="AN2281" s="145"/>
      <c r="AO2281" s="145"/>
      <c r="AP2281" s="145"/>
      <c r="AQ2281" s="145"/>
    </row>
    <row r="2282" spans="37:43">
      <c r="AK2282" s="145"/>
      <c r="AL2282" s="145"/>
      <c r="AM2282" s="145"/>
      <c r="AN2282" s="145"/>
      <c r="AO2282" s="145"/>
      <c r="AP2282" s="145"/>
      <c r="AQ2282" s="145"/>
    </row>
    <row r="2283" spans="37:43">
      <c r="AK2283" s="145"/>
      <c r="AL2283" s="145"/>
      <c r="AM2283" s="145"/>
      <c r="AN2283" s="145"/>
      <c r="AO2283" s="145"/>
      <c r="AP2283" s="145"/>
      <c r="AQ2283" s="145"/>
    </row>
    <row r="2284" spans="37:43">
      <c r="AK2284" s="145"/>
      <c r="AL2284" s="145"/>
      <c r="AM2284" s="145"/>
      <c r="AN2284" s="145"/>
      <c r="AO2284" s="145"/>
      <c r="AP2284" s="145"/>
      <c r="AQ2284" s="145"/>
    </row>
    <row r="2285" spans="37:43">
      <c r="AK2285" s="145"/>
      <c r="AL2285" s="145"/>
      <c r="AM2285" s="145"/>
      <c r="AN2285" s="145"/>
      <c r="AO2285" s="145"/>
      <c r="AP2285" s="145"/>
      <c r="AQ2285" s="145"/>
    </row>
    <row r="2286" spans="37:43">
      <c r="AK2286" s="145"/>
      <c r="AL2286" s="145"/>
      <c r="AM2286" s="145"/>
      <c r="AN2286" s="145"/>
      <c r="AO2286" s="145"/>
      <c r="AP2286" s="145"/>
      <c r="AQ2286" s="145"/>
    </row>
    <row r="2287" spans="37:43">
      <c r="AK2287" s="145"/>
      <c r="AL2287" s="145"/>
      <c r="AM2287" s="145"/>
      <c r="AN2287" s="145"/>
      <c r="AO2287" s="145"/>
      <c r="AP2287" s="145"/>
      <c r="AQ2287" s="145"/>
    </row>
    <row r="2288" spans="37:43">
      <c r="AK2288" s="145"/>
      <c r="AL2288" s="145"/>
      <c r="AM2288" s="145"/>
      <c r="AN2288" s="145"/>
      <c r="AO2288" s="145"/>
      <c r="AP2288" s="145"/>
      <c r="AQ2288" s="145"/>
    </row>
    <row r="2289" spans="37:43">
      <c r="AK2289" s="145"/>
      <c r="AL2289" s="145"/>
      <c r="AM2289" s="145"/>
      <c r="AN2289" s="145"/>
      <c r="AO2289" s="145"/>
      <c r="AP2289" s="145"/>
      <c r="AQ2289" s="145"/>
    </row>
    <row r="2290" spans="37:43">
      <c r="AK2290" s="145"/>
      <c r="AL2290" s="145"/>
      <c r="AM2290" s="145"/>
      <c r="AN2290" s="145"/>
      <c r="AO2290" s="145"/>
      <c r="AP2290" s="145"/>
      <c r="AQ2290" s="145"/>
    </row>
    <row r="2291" spans="37:43">
      <c r="AK2291" s="145"/>
      <c r="AL2291" s="145"/>
      <c r="AM2291" s="145"/>
      <c r="AN2291" s="145"/>
      <c r="AO2291" s="145"/>
      <c r="AP2291" s="145"/>
      <c r="AQ2291" s="145"/>
    </row>
    <row r="2292" spans="37:43">
      <c r="AK2292" s="145"/>
      <c r="AL2292" s="145"/>
      <c r="AM2292" s="145"/>
      <c r="AN2292" s="145"/>
      <c r="AO2292" s="145"/>
      <c r="AP2292" s="145"/>
      <c r="AQ2292" s="145"/>
    </row>
    <row r="2293" spans="37:43">
      <c r="AK2293" s="145"/>
      <c r="AL2293" s="145"/>
      <c r="AM2293" s="145"/>
      <c r="AN2293" s="145"/>
      <c r="AO2293" s="145"/>
      <c r="AP2293" s="145"/>
      <c r="AQ2293" s="145"/>
    </row>
    <row r="2294" spans="37:43">
      <c r="AK2294" s="145"/>
      <c r="AL2294" s="145"/>
      <c r="AM2294" s="145"/>
      <c r="AN2294" s="145"/>
      <c r="AO2294" s="145"/>
      <c r="AP2294" s="145"/>
      <c r="AQ2294" s="145"/>
    </row>
    <row r="2295" spans="37:43">
      <c r="AK2295" s="145"/>
      <c r="AL2295" s="145"/>
      <c r="AM2295" s="145"/>
      <c r="AN2295" s="145"/>
      <c r="AO2295" s="145"/>
      <c r="AP2295" s="145"/>
      <c r="AQ2295" s="145"/>
    </row>
    <row r="2296" spans="37:43">
      <c r="AK2296" s="145"/>
      <c r="AL2296" s="145"/>
      <c r="AM2296" s="145"/>
      <c r="AN2296" s="145"/>
      <c r="AO2296" s="145"/>
      <c r="AP2296" s="145"/>
      <c r="AQ2296" s="145"/>
    </row>
    <row r="2297" spans="37:43">
      <c r="AK2297" s="145"/>
      <c r="AL2297" s="145"/>
      <c r="AM2297" s="145"/>
      <c r="AN2297" s="145"/>
      <c r="AO2297" s="145"/>
      <c r="AP2297" s="145"/>
      <c r="AQ2297" s="145"/>
    </row>
    <row r="2298" spans="37:43">
      <c r="AK2298" s="145"/>
      <c r="AL2298" s="145"/>
      <c r="AM2298" s="145"/>
      <c r="AN2298" s="145"/>
      <c r="AO2298" s="145"/>
      <c r="AP2298" s="145"/>
      <c r="AQ2298" s="145"/>
    </row>
    <row r="2299" spans="37:43">
      <c r="AK2299" s="145"/>
      <c r="AL2299" s="145"/>
      <c r="AM2299" s="145"/>
      <c r="AN2299" s="145"/>
      <c r="AO2299" s="145"/>
      <c r="AP2299" s="145"/>
      <c r="AQ2299" s="145"/>
    </row>
    <row r="2300" spans="37:43">
      <c r="AK2300" s="145"/>
      <c r="AL2300" s="145"/>
      <c r="AM2300" s="145"/>
      <c r="AN2300" s="145"/>
      <c r="AO2300" s="145"/>
      <c r="AP2300" s="145"/>
      <c r="AQ2300" s="145"/>
    </row>
    <row r="2301" spans="37:43">
      <c r="AK2301" s="145"/>
      <c r="AL2301" s="145"/>
      <c r="AM2301" s="145"/>
      <c r="AN2301" s="145"/>
      <c r="AO2301" s="145"/>
      <c r="AP2301" s="145"/>
      <c r="AQ2301" s="145"/>
    </row>
    <row r="2302" spans="37:43">
      <c r="AK2302" s="145"/>
      <c r="AL2302" s="145"/>
      <c r="AM2302" s="145"/>
      <c r="AN2302" s="145"/>
      <c r="AO2302" s="145"/>
      <c r="AP2302" s="145"/>
      <c r="AQ2302" s="145"/>
    </row>
    <row r="2303" spans="37:43">
      <c r="AK2303" s="145"/>
      <c r="AL2303" s="145"/>
      <c r="AM2303" s="145"/>
      <c r="AN2303" s="145"/>
      <c r="AO2303" s="145"/>
      <c r="AP2303" s="145"/>
      <c r="AQ2303" s="145"/>
    </row>
    <row r="2304" spans="37:43">
      <c r="AK2304" s="145"/>
      <c r="AL2304" s="145"/>
      <c r="AM2304" s="145"/>
      <c r="AN2304" s="145"/>
      <c r="AO2304" s="145"/>
      <c r="AP2304" s="145"/>
      <c r="AQ2304" s="145"/>
    </row>
    <row r="2305" spans="37:43">
      <c r="AK2305" s="145"/>
      <c r="AL2305" s="145"/>
      <c r="AM2305" s="145"/>
      <c r="AN2305" s="145"/>
      <c r="AO2305" s="145"/>
      <c r="AP2305" s="145"/>
      <c r="AQ2305" s="145"/>
    </row>
    <row r="2306" spans="37:43">
      <c r="AK2306" s="145"/>
      <c r="AL2306" s="145"/>
      <c r="AM2306" s="145"/>
      <c r="AN2306" s="145"/>
      <c r="AO2306" s="145"/>
      <c r="AP2306" s="145"/>
      <c r="AQ2306" s="145"/>
    </row>
    <row r="2307" spans="37:43">
      <c r="AK2307" s="145"/>
      <c r="AL2307" s="145"/>
      <c r="AM2307" s="145"/>
      <c r="AN2307" s="145"/>
      <c r="AO2307" s="145"/>
      <c r="AP2307" s="145"/>
      <c r="AQ2307" s="145"/>
    </row>
    <row r="2308" spans="37:43">
      <c r="AK2308" s="145"/>
      <c r="AL2308" s="145"/>
      <c r="AM2308" s="145"/>
      <c r="AN2308" s="145"/>
      <c r="AO2308" s="145"/>
      <c r="AP2308" s="145"/>
      <c r="AQ2308" s="145"/>
    </row>
    <row r="2309" spans="37:43">
      <c r="AK2309" s="145"/>
      <c r="AL2309" s="145"/>
      <c r="AM2309" s="145"/>
      <c r="AN2309" s="145"/>
      <c r="AO2309" s="145"/>
      <c r="AP2309" s="145"/>
      <c r="AQ2309" s="145"/>
    </row>
    <row r="2310" spans="37:43">
      <c r="AK2310" s="145"/>
      <c r="AL2310" s="145"/>
      <c r="AM2310" s="145"/>
      <c r="AN2310" s="145"/>
      <c r="AO2310" s="145"/>
      <c r="AP2310" s="145"/>
      <c r="AQ2310" s="145"/>
    </row>
    <row r="2311" spans="37:43">
      <c r="AK2311" s="145"/>
      <c r="AL2311" s="145"/>
      <c r="AM2311" s="145"/>
      <c r="AN2311" s="145"/>
      <c r="AO2311" s="145"/>
      <c r="AP2311" s="145"/>
      <c r="AQ2311" s="145"/>
    </row>
    <row r="2312" spans="37:43">
      <c r="AK2312" s="145"/>
      <c r="AL2312" s="145"/>
      <c r="AM2312" s="145"/>
      <c r="AN2312" s="145"/>
      <c r="AO2312" s="145"/>
      <c r="AP2312" s="145"/>
      <c r="AQ2312" s="145"/>
    </row>
    <row r="2313" spans="37:43">
      <c r="AK2313" s="145"/>
      <c r="AL2313" s="145"/>
      <c r="AM2313" s="145"/>
      <c r="AN2313" s="145"/>
      <c r="AO2313" s="145"/>
      <c r="AP2313" s="145"/>
      <c r="AQ2313" s="145"/>
    </row>
    <row r="2314" spans="37:43">
      <c r="AK2314" s="145"/>
      <c r="AL2314" s="145"/>
      <c r="AM2314" s="145"/>
      <c r="AN2314" s="145"/>
      <c r="AO2314" s="145"/>
      <c r="AP2314" s="145"/>
      <c r="AQ2314" s="145"/>
    </row>
    <row r="2315" spans="37:43">
      <c r="AK2315" s="145"/>
      <c r="AL2315" s="145"/>
      <c r="AM2315" s="145"/>
      <c r="AN2315" s="145"/>
      <c r="AO2315" s="145"/>
      <c r="AP2315" s="145"/>
      <c r="AQ2315" s="145"/>
    </row>
    <row r="2316" spans="37:43">
      <c r="AK2316" s="145"/>
      <c r="AL2316" s="145"/>
      <c r="AM2316" s="145"/>
      <c r="AN2316" s="145"/>
      <c r="AO2316" s="145"/>
      <c r="AP2316" s="145"/>
      <c r="AQ2316" s="145"/>
    </row>
    <row r="2317" spans="37:43">
      <c r="AK2317" s="145"/>
      <c r="AL2317" s="145"/>
      <c r="AM2317" s="145"/>
      <c r="AN2317" s="145"/>
      <c r="AO2317" s="145"/>
      <c r="AP2317" s="145"/>
      <c r="AQ2317" s="145"/>
    </row>
    <row r="2318" spans="37:43">
      <c r="AK2318" s="145"/>
      <c r="AL2318" s="145"/>
      <c r="AM2318" s="145"/>
      <c r="AN2318" s="145"/>
      <c r="AO2318" s="145"/>
      <c r="AP2318" s="145"/>
      <c r="AQ2318" s="145"/>
    </row>
    <row r="2319" spans="37:43">
      <c r="AK2319" s="145"/>
      <c r="AL2319" s="145"/>
      <c r="AM2319" s="145"/>
      <c r="AN2319" s="145"/>
      <c r="AO2319" s="145"/>
      <c r="AP2319" s="145"/>
      <c r="AQ2319" s="145"/>
    </row>
    <row r="2320" spans="37:43">
      <c r="AK2320" s="145"/>
      <c r="AL2320" s="145"/>
      <c r="AM2320" s="145"/>
      <c r="AN2320" s="145"/>
      <c r="AO2320" s="145"/>
      <c r="AP2320" s="145"/>
      <c r="AQ2320" s="145"/>
    </row>
    <row r="2321" spans="37:43">
      <c r="AK2321" s="145"/>
      <c r="AL2321" s="145"/>
      <c r="AM2321" s="145"/>
      <c r="AN2321" s="145"/>
      <c r="AO2321" s="145"/>
      <c r="AP2321" s="145"/>
      <c r="AQ2321" s="145"/>
    </row>
    <row r="2322" spans="37:43">
      <c r="AK2322" s="145"/>
      <c r="AL2322" s="145"/>
      <c r="AM2322" s="145"/>
      <c r="AN2322" s="145"/>
      <c r="AO2322" s="145"/>
      <c r="AP2322" s="145"/>
      <c r="AQ2322" s="145"/>
    </row>
    <row r="2323" spans="37:43">
      <c r="AK2323" s="145"/>
      <c r="AL2323" s="145"/>
      <c r="AM2323" s="145"/>
      <c r="AN2323" s="145"/>
      <c r="AO2323" s="145"/>
      <c r="AP2323" s="145"/>
      <c r="AQ2323" s="145"/>
    </row>
    <row r="2324" spans="37:43">
      <c r="AK2324" s="145"/>
      <c r="AL2324" s="145"/>
      <c r="AM2324" s="145"/>
      <c r="AN2324" s="145"/>
      <c r="AO2324" s="145"/>
      <c r="AP2324" s="145"/>
      <c r="AQ2324" s="145"/>
    </row>
    <row r="2325" spans="37:43">
      <c r="AK2325" s="145"/>
      <c r="AL2325" s="145"/>
      <c r="AM2325" s="145"/>
      <c r="AN2325" s="145"/>
      <c r="AO2325" s="145"/>
      <c r="AP2325" s="145"/>
      <c r="AQ2325" s="145"/>
    </row>
    <row r="2326" spans="37:43">
      <c r="AK2326" s="145"/>
      <c r="AL2326" s="145"/>
      <c r="AM2326" s="145"/>
      <c r="AN2326" s="145"/>
      <c r="AO2326" s="145"/>
      <c r="AP2326" s="145"/>
      <c r="AQ2326" s="145"/>
    </row>
    <row r="2327" spans="37:43">
      <c r="AK2327" s="145"/>
      <c r="AL2327" s="145"/>
      <c r="AM2327" s="145"/>
      <c r="AN2327" s="145"/>
      <c r="AO2327" s="145"/>
      <c r="AP2327" s="145"/>
      <c r="AQ2327" s="145"/>
    </row>
    <row r="2328" spans="37:43">
      <c r="AK2328" s="145"/>
      <c r="AL2328" s="145"/>
      <c r="AM2328" s="145"/>
      <c r="AN2328" s="145"/>
      <c r="AO2328" s="145"/>
      <c r="AP2328" s="145"/>
      <c r="AQ2328" s="145"/>
    </row>
    <row r="2329" spans="37:43">
      <c r="AK2329" s="145"/>
      <c r="AL2329" s="145"/>
      <c r="AM2329" s="145"/>
      <c r="AN2329" s="145"/>
      <c r="AO2329" s="145"/>
      <c r="AP2329" s="145"/>
      <c r="AQ2329" s="145"/>
    </row>
    <row r="2330" spans="37:43">
      <c r="AK2330" s="145"/>
      <c r="AL2330" s="145"/>
      <c r="AM2330" s="145"/>
      <c r="AN2330" s="145"/>
      <c r="AO2330" s="145"/>
      <c r="AP2330" s="145"/>
      <c r="AQ2330" s="145"/>
    </row>
    <row r="2331" spans="37:43">
      <c r="AK2331" s="145"/>
      <c r="AL2331" s="145"/>
      <c r="AM2331" s="145"/>
      <c r="AN2331" s="145"/>
      <c r="AO2331" s="145"/>
      <c r="AP2331" s="145"/>
      <c r="AQ2331" s="145"/>
    </row>
    <row r="2332" spans="37:43">
      <c r="AK2332" s="145"/>
      <c r="AL2332" s="145"/>
      <c r="AM2332" s="145"/>
      <c r="AN2332" s="145"/>
      <c r="AO2332" s="145"/>
      <c r="AP2332" s="145"/>
      <c r="AQ2332" s="145"/>
    </row>
    <row r="2333" spans="37:43">
      <c r="AK2333" s="145"/>
      <c r="AL2333" s="145"/>
      <c r="AM2333" s="145"/>
      <c r="AN2333" s="145"/>
      <c r="AO2333" s="145"/>
      <c r="AP2333" s="145"/>
      <c r="AQ2333" s="145"/>
    </row>
    <row r="2334" spans="37:43">
      <c r="AK2334" s="145"/>
      <c r="AL2334" s="145"/>
      <c r="AM2334" s="145"/>
      <c r="AN2334" s="145"/>
      <c r="AO2334" s="145"/>
      <c r="AP2334" s="145"/>
      <c r="AQ2334" s="145"/>
    </row>
    <row r="2335" spans="37:43">
      <c r="AK2335" s="145"/>
      <c r="AL2335" s="145"/>
      <c r="AM2335" s="145"/>
      <c r="AN2335" s="145"/>
      <c r="AO2335" s="145"/>
      <c r="AP2335" s="145"/>
      <c r="AQ2335" s="145"/>
    </row>
    <row r="2336" spans="37:43">
      <c r="AK2336" s="145"/>
      <c r="AL2336" s="145"/>
      <c r="AM2336" s="145"/>
      <c r="AN2336" s="145"/>
      <c r="AO2336" s="145"/>
      <c r="AP2336" s="145"/>
      <c r="AQ2336" s="145"/>
    </row>
    <row r="2337" spans="37:43">
      <c r="AK2337" s="145"/>
      <c r="AL2337" s="145"/>
      <c r="AM2337" s="145"/>
      <c r="AN2337" s="145"/>
      <c r="AO2337" s="145"/>
      <c r="AP2337" s="145"/>
      <c r="AQ2337" s="145"/>
    </row>
    <row r="2338" spans="37:43">
      <c r="AK2338" s="145"/>
      <c r="AL2338" s="145"/>
      <c r="AM2338" s="145"/>
      <c r="AN2338" s="145"/>
      <c r="AO2338" s="145"/>
      <c r="AP2338" s="145"/>
      <c r="AQ2338" s="145"/>
    </row>
    <row r="2339" spans="37:43">
      <c r="AK2339" s="145"/>
      <c r="AL2339" s="145"/>
      <c r="AM2339" s="145"/>
      <c r="AN2339" s="145"/>
      <c r="AO2339" s="145"/>
      <c r="AP2339" s="145"/>
      <c r="AQ2339" s="145"/>
    </row>
    <row r="2340" spans="37:43">
      <c r="AK2340" s="145"/>
      <c r="AL2340" s="145"/>
      <c r="AM2340" s="145"/>
      <c r="AN2340" s="145"/>
      <c r="AO2340" s="145"/>
      <c r="AP2340" s="145"/>
      <c r="AQ2340" s="145"/>
    </row>
    <row r="2341" spans="37:43">
      <c r="AK2341" s="145"/>
      <c r="AL2341" s="145"/>
      <c r="AM2341" s="145"/>
      <c r="AN2341" s="145"/>
      <c r="AO2341" s="145"/>
      <c r="AP2341" s="145"/>
      <c r="AQ2341" s="145"/>
    </row>
    <row r="2342" spans="37:43">
      <c r="AK2342" s="145"/>
      <c r="AL2342" s="145"/>
      <c r="AM2342" s="145"/>
      <c r="AN2342" s="145"/>
      <c r="AO2342" s="145"/>
      <c r="AP2342" s="145"/>
      <c r="AQ2342" s="145"/>
    </row>
    <row r="2343" spans="37:43">
      <c r="AK2343" s="145"/>
      <c r="AL2343" s="145"/>
      <c r="AM2343" s="145"/>
      <c r="AN2343" s="145"/>
      <c r="AO2343" s="145"/>
      <c r="AP2343" s="145"/>
      <c r="AQ2343" s="145"/>
    </row>
    <row r="2344" spans="37:43">
      <c r="AK2344" s="145"/>
      <c r="AL2344" s="145"/>
      <c r="AM2344" s="145"/>
      <c r="AN2344" s="145"/>
      <c r="AO2344" s="145"/>
      <c r="AP2344" s="145"/>
      <c r="AQ2344" s="145"/>
    </row>
    <row r="2345" spans="37:43">
      <c r="AK2345" s="145"/>
      <c r="AL2345" s="145"/>
      <c r="AM2345" s="145"/>
      <c r="AN2345" s="145"/>
      <c r="AO2345" s="145"/>
      <c r="AP2345" s="145"/>
      <c r="AQ2345" s="145"/>
    </row>
    <row r="2346" spans="37:43">
      <c r="AK2346" s="145"/>
      <c r="AL2346" s="145"/>
      <c r="AM2346" s="145"/>
      <c r="AN2346" s="145"/>
      <c r="AO2346" s="145"/>
      <c r="AP2346" s="145"/>
      <c r="AQ2346" s="145"/>
    </row>
    <row r="2347" spans="37:43">
      <c r="AK2347" s="145"/>
      <c r="AL2347" s="145"/>
      <c r="AM2347" s="145"/>
      <c r="AN2347" s="145"/>
      <c r="AO2347" s="145"/>
      <c r="AP2347" s="145"/>
      <c r="AQ2347" s="145"/>
    </row>
    <row r="2348" spans="37:43">
      <c r="AK2348" s="145"/>
      <c r="AL2348" s="145"/>
      <c r="AM2348" s="145"/>
      <c r="AN2348" s="145"/>
      <c r="AO2348" s="145"/>
      <c r="AP2348" s="145"/>
      <c r="AQ2348" s="145"/>
    </row>
    <row r="2349" spans="37:43">
      <c r="AK2349" s="145"/>
      <c r="AL2349" s="145"/>
      <c r="AM2349" s="145"/>
      <c r="AN2349" s="145"/>
      <c r="AO2349" s="145"/>
      <c r="AP2349" s="145"/>
      <c r="AQ2349" s="145"/>
    </row>
    <row r="2350" spans="37:43">
      <c r="AK2350" s="145"/>
      <c r="AL2350" s="145"/>
      <c r="AM2350" s="145"/>
      <c r="AN2350" s="145"/>
      <c r="AO2350" s="145"/>
      <c r="AP2350" s="145"/>
      <c r="AQ2350" s="145"/>
    </row>
    <row r="2351" spans="37:43">
      <c r="AK2351" s="145"/>
      <c r="AL2351" s="145"/>
      <c r="AM2351" s="145"/>
      <c r="AN2351" s="145"/>
      <c r="AO2351" s="145"/>
      <c r="AP2351" s="145"/>
      <c r="AQ2351" s="145"/>
    </row>
    <row r="2352" spans="37:43">
      <c r="AK2352" s="145"/>
      <c r="AL2352" s="145"/>
      <c r="AM2352" s="145"/>
      <c r="AN2352" s="145"/>
      <c r="AO2352" s="145"/>
      <c r="AP2352" s="145"/>
      <c r="AQ2352" s="145"/>
    </row>
    <row r="2353" spans="37:43">
      <c r="AK2353" s="145"/>
      <c r="AL2353" s="145"/>
      <c r="AM2353" s="145"/>
      <c r="AN2353" s="145"/>
      <c r="AO2353" s="145"/>
      <c r="AP2353" s="145"/>
      <c r="AQ2353" s="145"/>
    </row>
    <row r="2354" spans="37:43">
      <c r="AK2354" s="145"/>
      <c r="AL2354" s="145"/>
      <c r="AM2354" s="145"/>
      <c r="AN2354" s="145"/>
      <c r="AO2354" s="145"/>
      <c r="AP2354" s="145"/>
      <c r="AQ2354" s="145"/>
    </row>
    <row r="2355" spans="37:43">
      <c r="AK2355" s="145"/>
      <c r="AL2355" s="145"/>
      <c r="AM2355" s="145"/>
      <c r="AN2355" s="145"/>
      <c r="AO2355" s="145"/>
      <c r="AP2355" s="145"/>
      <c r="AQ2355" s="145"/>
    </row>
    <row r="2356" spans="37:43">
      <c r="AK2356" s="145"/>
      <c r="AL2356" s="145"/>
      <c r="AM2356" s="145"/>
      <c r="AN2356" s="145"/>
      <c r="AO2356" s="145"/>
      <c r="AP2356" s="145"/>
      <c r="AQ2356" s="145"/>
    </row>
    <row r="2357" spans="37:43">
      <c r="AK2357" s="145"/>
      <c r="AL2357" s="145"/>
      <c r="AM2357" s="145"/>
      <c r="AN2357" s="145"/>
      <c r="AO2357" s="145"/>
      <c r="AP2357" s="145"/>
      <c r="AQ2357" s="145"/>
    </row>
    <row r="2358" spans="37:43">
      <c r="AK2358" s="145"/>
      <c r="AL2358" s="145"/>
      <c r="AM2358" s="145"/>
      <c r="AN2358" s="145"/>
      <c r="AO2358" s="145"/>
      <c r="AP2358" s="145"/>
      <c r="AQ2358" s="145"/>
    </row>
    <row r="2359" spans="37:43">
      <c r="AK2359" s="145"/>
      <c r="AL2359" s="145"/>
      <c r="AM2359" s="145"/>
      <c r="AN2359" s="145"/>
      <c r="AO2359" s="145"/>
      <c r="AP2359" s="145"/>
      <c r="AQ2359" s="145"/>
    </row>
    <row r="2360" spans="37:43">
      <c r="AK2360" s="145"/>
      <c r="AL2360" s="145"/>
      <c r="AM2360" s="145"/>
      <c r="AN2360" s="145"/>
      <c r="AO2360" s="145"/>
      <c r="AP2360" s="145"/>
      <c r="AQ2360" s="145"/>
    </row>
    <row r="2361" spans="37:43">
      <c r="AK2361" s="145"/>
      <c r="AL2361" s="145"/>
      <c r="AM2361" s="145"/>
      <c r="AN2361" s="145"/>
      <c r="AO2361" s="145"/>
      <c r="AP2361" s="145"/>
      <c r="AQ2361" s="145"/>
    </row>
    <row r="2362" spans="37:43">
      <c r="AK2362" s="145"/>
      <c r="AL2362" s="145"/>
      <c r="AM2362" s="145"/>
      <c r="AN2362" s="145"/>
      <c r="AO2362" s="145"/>
      <c r="AP2362" s="145"/>
      <c r="AQ2362" s="145"/>
    </row>
    <row r="2363" spans="37:43">
      <c r="AK2363" s="145"/>
      <c r="AL2363" s="145"/>
      <c r="AM2363" s="145"/>
      <c r="AN2363" s="145"/>
      <c r="AO2363" s="145"/>
      <c r="AP2363" s="145"/>
      <c r="AQ2363" s="145"/>
    </row>
    <row r="2364" spans="37:43">
      <c r="AK2364" s="145"/>
      <c r="AL2364" s="145"/>
      <c r="AM2364" s="145"/>
      <c r="AN2364" s="145"/>
      <c r="AO2364" s="145"/>
      <c r="AP2364" s="145"/>
      <c r="AQ2364" s="145"/>
    </row>
    <row r="2365" spans="37:43">
      <c r="AK2365" s="145"/>
      <c r="AL2365" s="145"/>
      <c r="AM2365" s="145"/>
      <c r="AN2365" s="145"/>
      <c r="AO2365" s="145"/>
      <c r="AP2365" s="145"/>
      <c r="AQ2365" s="145"/>
    </row>
    <row r="2366" spans="37:43">
      <c r="AK2366" s="145"/>
      <c r="AL2366" s="145"/>
      <c r="AM2366" s="145"/>
      <c r="AN2366" s="145"/>
      <c r="AO2366" s="145"/>
      <c r="AP2366" s="145"/>
      <c r="AQ2366" s="145"/>
    </row>
    <row r="2367" spans="37:43">
      <c r="AK2367" s="145"/>
      <c r="AL2367" s="145"/>
      <c r="AM2367" s="145"/>
      <c r="AN2367" s="145"/>
      <c r="AO2367" s="145"/>
      <c r="AP2367" s="145"/>
      <c r="AQ2367" s="145"/>
    </row>
    <row r="2368" spans="37:43">
      <c r="AK2368" s="145"/>
      <c r="AL2368" s="145"/>
      <c r="AM2368" s="145"/>
      <c r="AN2368" s="145"/>
      <c r="AO2368" s="145"/>
      <c r="AP2368" s="145"/>
      <c r="AQ2368" s="145"/>
    </row>
    <row r="2369" spans="37:43">
      <c r="AK2369" s="145"/>
      <c r="AL2369" s="145"/>
      <c r="AM2369" s="145"/>
      <c r="AN2369" s="145"/>
      <c r="AO2369" s="145"/>
      <c r="AP2369" s="145"/>
      <c r="AQ2369" s="145"/>
    </row>
    <row r="2370" spans="37:43">
      <c r="AK2370" s="145"/>
      <c r="AL2370" s="145"/>
      <c r="AM2370" s="145"/>
      <c r="AN2370" s="145"/>
      <c r="AO2370" s="145"/>
      <c r="AP2370" s="145"/>
      <c r="AQ2370" s="145"/>
    </row>
    <row r="2371" spans="37:43">
      <c r="AK2371" s="145"/>
      <c r="AL2371" s="145"/>
      <c r="AM2371" s="145"/>
      <c r="AN2371" s="145"/>
      <c r="AO2371" s="145"/>
      <c r="AP2371" s="145"/>
      <c r="AQ2371" s="145"/>
    </row>
    <row r="2372" spans="37:43">
      <c r="AK2372" s="145"/>
      <c r="AL2372" s="145"/>
      <c r="AM2372" s="145"/>
      <c r="AN2372" s="145"/>
      <c r="AO2372" s="145"/>
      <c r="AP2372" s="145"/>
      <c r="AQ2372" s="145"/>
    </row>
    <row r="2373" spans="37:43">
      <c r="AK2373" s="145"/>
      <c r="AL2373" s="145"/>
      <c r="AM2373" s="145"/>
      <c r="AN2373" s="145"/>
      <c r="AO2373" s="145"/>
      <c r="AP2373" s="145"/>
      <c r="AQ2373" s="145"/>
    </row>
    <row r="2374" spans="37:43">
      <c r="AK2374" s="145"/>
      <c r="AL2374" s="145"/>
      <c r="AM2374" s="145"/>
      <c r="AN2374" s="145"/>
      <c r="AO2374" s="145"/>
      <c r="AP2374" s="145"/>
      <c r="AQ2374" s="145"/>
    </row>
    <row r="2375" spans="37:43">
      <c r="AK2375" s="145"/>
      <c r="AL2375" s="145"/>
      <c r="AM2375" s="145"/>
      <c r="AN2375" s="145"/>
      <c r="AO2375" s="145"/>
      <c r="AP2375" s="145"/>
      <c r="AQ2375" s="145"/>
    </row>
    <row r="2376" spans="37:43">
      <c r="AK2376" s="145"/>
      <c r="AL2376" s="145"/>
      <c r="AM2376" s="145"/>
      <c r="AN2376" s="145"/>
      <c r="AO2376" s="145"/>
      <c r="AP2376" s="145"/>
      <c r="AQ2376" s="145"/>
    </row>
    <row r="2377" spans="37:43">
      <c r="AK2377" s="145"/>
      <c r="AL2377" s="145"/>
      <c r="AM2377" s="145"/>
      <c r="AN2377" s="145"/>
      <c r="AO2377" s="145"/>
      <c r="AP2377" s="145"/>
      <c r="AQ2377" s="145"/>
    </row>
    <row r="2378" spans="37:43">
      <c r="AK2378" s="145"/>
      <c r="AL2378" s="145"/>
      <c r="AM2378" s="145"/>
      <c r="AN2378" s="145"/>
      <c r="AO2378" s="145"/>
      <c r="AP2378" s="145"/>
      <c r="AQ2378" s="145"/>
    </row>
    <row r="2379" spans="37:43">
      <c r="AK2379" s="145"/>
      <c r="AL2379" s="145"/>
      <c r="AM2379" s="145"/>
      <c r="AN2379" s="145"/>
      <c r="AO2379" s="145"/>
      <c r="AP2379" s="145"/>
      <c r="AQ2379" s="145"/>
    </row>
    <row r="2380" spans="37:43">
      <c r="AK2380" s="145"/>
      <c r="AL2380" s="145"/>
      <c r="AM2380" s="145"/>
      <c r="AN2380" s="145"/>
      <c r="AO2380" s="145"/>
      <c r="AP2380" s="145"/>
      <c r="AQ2380" s="145"/>
    </row>
    <row r="2381" spans="37:43">
      <c r="AK2381" s="145"/>
      <c r="AL2381" s="145"/>
      <c r="AM2381" s="145"/>
      <c r="AN2381" s="145"/>
      <c r="AO2381" s="145"/>
      <c r="AP2381" s="145"/>
      <c r="AQ2381" s="145"/>
    </row>
    <row r="2382" spans="37:43">
      <c r="AK2382" s="145"/>
      <c r="AL2382" s="145"/>
      <c r="AM2382" s="145"/>
      <c r="AN2382" s="145"/>
      <c r="AO2382" s="145"/>
      <c r="AP2382" s="145"/>
      <c r="AQ2382" s="145"/>
    </row>
    <row r="2383" spans="37:43">
      <c r="AK2383" s="145"/>
      <c r="AL2383" s="145"/>
      <c r="AM2383" s="145"/>
      <c r="AN2383" s="145"/>
      <c r="AO2383" s="145"/>
      <c r="AP2383" s="145"/>
      <c r="AQ2383" s="145"/>
    </row>
    <row r="2384" spans="37:43">
      <c r="AK2384" s="145"/>
      <c r="AL2384" s="145"/>
      <c r="AM2384" s="145"/>
      <c r="AN2384" s="145"/>
      <c r="AO2384" s="145"/>
      <c r="AP2384" s="145"/>
      <c r="AQ2384" s="145"/>
    </row>
    <row r="2385" spans="37:43">
      <c r="AK2385" s="145"/>
      <c r="AL2385" s="145"/>
      <c r="AM2385" s="145"/>
      <c r="AN2385" s="145"/>
      <c r="AO2385" s="145"/>
      <c r="AP2385" s="145"/>
      <c r="AQ2385" s="145"/>
    </row>
    <row r="2386" spans="37:43">
      <c r="AK2386" s="145"/>
      <c r="AL2386" s="145"/>
      <c r="AM2386" s="145"/>
      <c r="AN2386" s="145"/>
      <c r="AO2386" s="145"/>
      <c r="AP2386" s="145"/>
      <c r="AQ2386" s="145"/>
    </row>
    <row r="2387" spans="37:43">
      <c r="AK2387" s="145"/>
      <c r="AL2387" s="145"/>
      <c r="AM2387" s="145"/>
      <c r="AN2387" s="145"/>
      <c r="AO2387" s="145"/>
      <c r="AP2387" s="145"/>
      <c r="AQ2387" s="145"/>
    </row>
    <row r="2388" spans="37:43">
      <c r="AK2388" s="145"/>
      <c r="AL2388" s="145"/>
      <c r="AM2388" s="145"/>
      <c r="AN2388" s="145"/>
      <c r="AO2388" s="145"/>
      <c r="AP2388" s="145"/>
      <c r="AQ2388" s="145"/>
    </row>
    <row r="2389" spans="37:43">
      <c r="AK2389" s="145"/>
      <c r="AL2389" s="145"/>
      <c r="AM2389" s="145"/>
      <c r="AN2389" s="145"/>
      <c r="AO2389" s="145"/>
      <c r="AP2389" s="145"/>
      <c r="AQ2389" s="145"/>
    </row>
    <row r="2390" spans="37:43">
      <c r="AK2390" s="145"/>
      <c r="AL2390" s="145"/>
      <c r="AM2390" s="145"/>
      <c r="AN2390" s="145"/>
      <c r="AO2390" s="145"/>
      <c r="AP2390" s="145"/>
      <c r="AQ2390" s="145"/>
    </row>
    <row r="2391" spans="37:43">
      <c r="AK2391" s="145"/>
      <c r="AL2391" s="145"/>
      <c r="AM2391" s="145"/>
      <c r="AN2391" s="145"/>
      <c r="AO2391" s="145"/>
      <c r="AP2391" s="145"/>
      <c r="AQ2391" s="145"/>
    </row>
    <row r="2392" spans="37:43">
      <c r="AK2392" s="145"/>
      <c r="AL2392" s="145"/>
      <c r="AM2392" s="145"/>
      <c r="AN2392" s="145"/>
      <c r="AO2392" s="145"/>
      <c r="AP2392" s="145"/>
      <c r="AQ2392" s="145"/>
    </row>
    <row r="2393" spans="37:43">
      <c r="AK2393" s="145"/>
      <c r="AL2393" s="145"/>
      <c r="AM2393" s="145"/>
      <c r="AN2393" s="145"/>
      <c r="AO2393" s="145"/>
      <c r="AP2393" s="145"/>
      <c r="AQ2393" s="145"/>
    </row>
    <row r="2394" spans="37:43">
      <c r="AK2394" s="145"/>
      <c r="AL2394" s="145"/>
      <c r="AM2394" s="145"/>
      <c r="AN2394" s="145"/>
      <c r="AO2394" s="145"/>
      <c r="AP2394" s="145"/>
      <c r="AQ2394" s="145"/>
    </row>
    <row r="2395" spans="37:43">
      <c r="AK2395" s="145"/>
      <c r="AL2395" s="145"/>
      <c r="AM2395" s="145"/>
      <c r="AN2395" s="145"/>
      <c r="AO2395" s="145"/>
      <c r="AP2395" s="145"/>
      <c r="AQ2395" s="145"/>
    </row>
    <row r="2396" spans="37:43">
      <c r="AK2396" s="145"/>
      <c r="AL2396" s="145"/>
      <c r="AM2396" s="145"/>
      <c r="AN2396" s="145"/>
      <c r="AO2396" s="145"/>
      <c r="AP2396" s="145"/>
      <c r="AQ2396" s="145"/>
    </row>
    <row r="2397" spans="37:43">
      <c r="AK2397" s="145"/>
      <c r="AL2397" s="145"/>
      <c r="AM2397" s="145"/>
      <c r="AN2397" s="145"/>
      <c r="AO2397" s="145"/>
      <c r="AP2397" s="145"/>
      <c r="AQ2397" s="145"/>
    </row>
    <row r="2398" spans="37:43">
      <c r="AK2398" s="145"/>
      <c r="AL2398" s="145"/>
      <c r="AM2398" s="145"/>
      <c r="AN2398" s="145"/>
      <c r="AO2398" s="145"/>
      <c r="AP2398" s="145"/>
      <c r="AQ2398" s="145"/>
    </row>
    <row r="2399" spans="37:43">
      <c r="AK2399" s="145"/>
      <c r="AL2399" s="145"/>
      <c r="AM2399" s="145"/>
      <c r="AN2399" s="145"/>
      <c r="AO2399" s="145"/>
      <c r="AP2399" s="145"/>
      <c r="AQ2399" s="145"/>
    </row>
    <row r="2400" spans="37:43">
      <c r="AK2400" s="145"/>
      <c r="AL2400" s="145"/>
      <c r="AM2400" s="145"/>
      <c r="AN2400" s="145"/>
      <c r="AO2400" s="145"/>
      <c r="AP2400" s="145"/>
      <c r="AQ2400" s="145"/>
    </row>
    <row r="2401" spans="37:43">
      <c r="AK2401" s="145"/>
      <c r="AL2401" s="145"/>
      <c r="AM2401" s="145"/>
      <c r="AN2401" s="145"/>
      <c r="AO2401" s="145"/>
      <c r="AP2401" s="145"/>
      <c r="AQ2401" s="145"/>
    </row>
    <row r="2402" spans="37:43">
      <c r="AK2402" s="145"/>
      <c r="AL2402" s="145"/>
      <c r="AM2402" s="145"/>
      <c r="AN2402" s="145"/>
      <c r="AO2402" s="145"/>
      <c r="AP2402" s="145"/>
      <c r="AQ2402" s="145"/>
    </row>
    <row r="2403" spans="37:43">
      <c r="AK2403" s="145"/>
      <c r="AL2403" s="145"/>
      <c r="AM2403" s="145"/>
      <c r="AN2403" s="145"/>
      <c r="AO2403" s="145"/>
      <c r="AP2403" s="145"/>
      <c r="AQ2403" s="145"/>
    </row>
    <row r="2404" spans="37:43">
      <c r="AK2404" s="145"/>
      <c r="AL2404" s="145"/>
      <c r="AM2404" s="145"/>
      <c r="AN2404" s="145"/>
      <c r="AO2404" s="145"/>
      <c r="AP2404" s="145"/>
      <c r="AQ2404" s="145"/>
    </row>
    <row r="2405" spans="37:43">
      <c r="AK2405" s="145"/>
      <c r="AL2405" s="145"/>
      <c r="AM2405" s="145"/>
      <c r="AN2405" s="145"/>
      <c r="AO2405" s="145"/>
      <c r="AP2405" s="145"/>
      <c r="AQ2405" s="145"/>
    </row>
    <row r="2406" spans="37:43">
      <c r="AK2406" s="145"/>
      <c r="AL2406" s="145"/>
      <c r="AM2406" s="145"/>
      <c r="AN2406" s="145"/>
      <c r="AO2406" s="145"/>
      <c r="AP2406" s="145"/>
      <c r="AQ2406" s="145"/>
    </row>
    <row r="2407" spans="37:43">
      <c r="AK2407" s="145"/>
      <c r="AL2407" s="145"/>
      <c r="AM2407" s="145"/>
      <c r="AN2407" s="145"/>
      <c r="AO2407" s="145"/>
      <c r="AP2407" s="145"/>
      <c r="AQ2407" s="145"/>
    </row>
    <row r="2408" spans="37:43">
      <c r="AK2408" s="145"/>
      <c r="AL2408" s="145"/>
      <c r="AM2408" s="145"/>
      <c r="AN2408" s="145"/>
      <c r="AO2408" s="145"/>
      <c r="AP2408" s="145"/>
      <c r="AQ2408" s="145"/>
    </row>
    <row r="2409" spans="37:43">
      <c r="AK2409" s="145"/>
      <c r="AL2409" s="145"/>
      <c r="AM2409" s="145"/>
      <c r="AN2409" s="145"/>
      <c r="AO2409" s="145"/>
      <c r="AP2409" s="145"/>
      <c r="AQ2409" s="145"/>
    </row>
    <row r="2410" spans="37:43">
      <c r="AK2410" s="145"/>
      <c r="AL2410" s="145"/>
      <c r="AM2410" s="145"/>
      <c r="AN2410" s="145"/>
      <c r="AO2410" s="145"/>
      <c r="AP2410" s="145"/>
      <c r="AQ2410" s="145"/>
    </row>
    <row r="2411" spans="37:43">
      <c r="AK2411" s="145"/>
      <c r="AL2411" s="145"/>
      <c r="AM2411" s="145"/>
      <c r="AN2411" s="145"/>
      <c r="AO2411" s="145"/>
      <c r="AP2411" s="145"/>
      <c r="AQ2411" s="145"/>
    </row>
    <row r="2412" spans="37:43">
      <c r="AK2412" s="145"/>
      <c r="AL2412" s="145"/>
      <c r="AM2412" s="145"/>
      <c r="AN2412" s="145"/>
      <c r="AO2412" s="145"/>
      <c r="AP2412" s="145"/>
      <c r="AQ2412" s="145"/>
    </row>
    <row r="2413" spans="37:43">
      <c r="AK2413" s="145"/>
      <c r="AL2413" s="145"/>
      <c r="AM2413" s="145"/>
      <c r="AN2413" s="145"/>
      <c r="AO2413" s="145"/>
      <c r="AP2413" s="145"/>
      <c r="AQ2413" s="145"/>
    </row>
    <row r="2414" spans="37:43">
      <c r="AK2414" s="145"/>
      <c r="AL2414" s="145"/>
      <c r="AM2414" s="145"/>
      <c r="AN2414" s="145"/>
      <c r="AO2414" s="145"/>
      <c r="AP2414" s="145"/>
      <c r="AQ2414" s="145"/>
    </row>
    <row r="2415" spans="37:43">
      <c r="AK2415" s="145"/>
      <c r="AL2415" s="145"/>
      <c r="AM2415" s="145"/>
      <c r="AN2415" s="145"/>
      <c r="AO2415" s="145"/>
      <c r="AP2415" s="145"/>
      <c r="AQ2415" s="145"/>
    </row>
    <row r="2416" spans="37:43">
      <c r="AK2416" s="145"/>
      <c r="AL2416" s="145"/>
      <c r="AM2416" s="145"/>
      <c r="AN2416" s="145"/>
      <c r="AO2416" s="145"/>
      <c r="AP2416" s="145"/>
      <c r="AQ2416" s="145"/>
    </row>
    <row r="2417" spans="37:43">
      <c r="AK2417" s="145"/>
      <c r="AL2417" s="145"/>
      <c r="AM2417" s="145"/>
      <c r="AN2417" s="145"/>
      <c r="AO2417" s="145"/>
      <c r="AP2417" s="145"/>
      <c r="AQ2417" s="145"/>
    </row>
    <row r="2418" spans="37:43">
      <c r="AK2418" s="145"/>
      <c r="AL2418" s="145"/>
      <c r="AM2418" s="145"/>
      <c r="AN2418" s="145"/>
      <c r="AO2418" s="145"/>
      <c r="AP2418" s="145"/>
      <c r="AQ2418" s="145"/>
    </row>
    <row r="2419" spans="37:43">
      <c r="AK2419" s="145"/>
      <c r="AL2419" s="145"/>
      <c r="AM2419" s="145"/>
      <c r="AN2419" s="145"/>
      <c r="AO2419" s="145"/>
      <c r="AP2419" s="145"/>
      <c r="AQ2419" s="145"/>
    </row>
    <row r="2420" spans="37:43">
      <c r="AK2420" s="145"/>
      <c r="AL2420" s="145"/>
      <c r="AM2420" s="145"/>
      <c r="AN2420" s="145"/>
      <c r="AO2420" s="145"/>
      <c r="AP2420" s="145"/>
      <c r="AQ2420" s="145"/>
    </row>
    <row r="2421" spans="37:43">
      <c r="AK2421" s="145"/>
      <c r="AL2421" s="145"/>
      <c r="AM2421" s="145"/>
      <c r="AN2421" s="145"/>
      <c r="AO2421" s="145"/>
      <c r="AP2421" s="145"/>
      <c r="AQ2421" s="145"/>
    </row>
    <row r="2422" spans="37:43">
      <c r="AK2422" s="145"/>
      <c r="AL2422" s="145"/>
      <c r="AM2422" s="145"/>
      <c r="AN2422" s="145"/>
      <c r="AO2422" s="145"/>
      <c r="AP2422" s="145"/>
      <c r="AQ2422" s="145"/>
    </row>
    <row r="2423" spans="37:43">
      <c r="AK2423" s="145"/>
      <c r="AL2423" s="145"/>
      <c r="AM2423" s="145"/>
      <c r="AN2423" s="145"/>
      <c r="AO2423" s="145"/>
      <c r="AP2423" s="145"/>
      <c r="AQ2423" s="145"/>
    </row>
    <row r="2424" spans="37:43">
      <c r="AK2424" s="145"/>
      <c r="AL2424" s="145"/>
      <c r="AM2424" s="145"/>
      <c r="AN2424" s="145"/>
      <c r="AO2424" s="145"/>
      <c r="AP2424" s="145"/>
      <c r="AQ2424" s="145"/>
    </row>
    <row r="2425" spans="37:43">
      <c r="AK2425" s="145"/>
      <c r="AL2425" s="145"/>
      <c r="AM2425" s="145"/>
      <c r="AN2425" s="145"/>
      <c r="AO2425" s="145"/>
      <c r="AP2425" s="145"/>
      <c r="AQ2425" s="145"/>
    </row>
    <row r="2426" spans="37:43">
      <c r="AK2426" s="145"/>
      <c r="AL2426" s="145"/>
      <c r="AM2426" s="145"/>
      <c r="AN2426" s="145"/>
      <c r="AO2426" s="145"/>
      <c r="AP2426" s="145"/>
      <c r="AQ2426" s="145"/>
    </row>
    <row r="2427" spans="37:43">
      <c r="AK2427" s="145"/>
      <c r="AL2427" s="145"/>
      <c r="AM2427" s="145"/>
      <c r="AN2427" s="145"/>
      <c r="AO2427" s="145"/>
      <c r="AP2427" s="145"/>
      <c r="AQ2427" s="145"/>
    </row>
    <row r="2428" spans="37:43">
      <c r="AK2428" s="145"/>
      <c r="AL2428" s="145"/>
      <c r="AM2428" s="145"/>
      <c r="AN2428" s="145"/>
      <c r="AO2428" s="145"/>
      <c r="AP2428" s="145"/>
      <c r="AQ2428" s="145"/>
    </row>
    <row r="2429" spans="37:43">
      <c r="AK2429" s="145"/>
      <c r="AL2429" s="145"/>
      <c r="AM2429" s="145"/>
      <c r="AN2429" s="145"/>
      <c r="AO2429" s="145"/>
      <c r="AP2429" s="145"/>
      <c r="AQ2429" s="145"/>
    </row>
    <row r="2430" spans="37:43">
      <c r="AK2430" s="145"/>
      <c r="AL2430" s="145"/>
      <c r="AM2430" s="145"/>
      <c r="AN2430" s="145"/>
      <c r="AO2430" s="145"/>
      <c r="AP2430" s="145"/>
      <c r="AQ2430" s="145"/>
    </row>
    <row r="2431" spans="37:43">
      <c r="AK2431" s="145"/>
      <c r="AL2431" s="145"/>
      <c r="AM2431" s="145"/>
      <c r="AN2431" s="145"/>
      <c r="AO2431" s="145"/>
      <c r="AP2431" s="145"/>
      <c r="AQ2431" s="145"/>
    </row>
    <row r="2432" spans="37:43">
      <c r="AK2432" s="145"/>
      <c r="AL2432" s="145"/>
      <c r="AM2432" s="145"/>
      <c r="AN2432" s="145"/>
      <c r="AO2432" s="145"/>
      <c r="AP2432" s="145"/>
      <c r="AQ2432" s="145"/>
    </row>
    <row r="2433" spans="37:43">
      <c r="AK2433" s="145"/>
      <c r="AL2433" s="145"/>
      <c r="AM2433" s="145"/>
      <c r="AN2433" s="145"/>
      <c r="AO2433" s="145"/>
      <c r="AP2433" s="145"/>
      <c r="AQ2433" s="145"/>
    </row>
    <row r="2434" spans="37:43">
      <c r="AK2434" s="145"/>
      <c r="AL2434" s="145"/>
      <c r="AM2434" s="145"/>
      <c r="AN2434" s="145"/>
      <c r="AO2434" s="145"/>
      <c r="AP2434" s="145"/>
      <c r="AQ2434" s="145"/>
    </row>
    <row r="2435" spans="37:43">
      <c r="AK2435" s="145"/>
      <c r="AL2435" s="145"/>
      <c r="AM2435" s="145"/>
      <c r="AN2435" s="145"/>
      <c r="AO2435" s="145"/>
      <c r="AP2435" s="145"/>
      <c r="AQ2435" s="145"/>
    </row>
    <row r="2436" spans="37:43">
      <c r="AK2436" s="145"/>
      <c r="AL2436" s="145"/>
      <c r="AM2436" s="145"/>
      <c r="AN2436" s="145"/>
      <c r="AO2436" s="145"/>
      <c r="AP2436" s="145"/>
      <c r="AQ2436" s="145"/>
    </row>
    <row r="2437" spans="37:43">
      <c r="AK2437" s="145"/>
      <c r="AL2437" s="145"/>
      <c r="AM2437" s="145"/>
      <c r="AN2437" s="145"/>
      <c r="AO2437" s="145"/>
      <c r="AP2437" s="145"/>
      <c r="AQ2437" s="145"/>
    </row>
    <row r="2438" spans="37:43">
      <c r="AK2438" s="145"/>
      <c r="AL2438" s="145"/>
      <c r="AM2438" s="145"/>
      <c r="AN2438" s="145"/>
      <c r="AO2438" s="145"/>
      <c r="AP2438" s="145"/>
      <c r="AQ2438" s="145"/>
    </row>
    <row r="2439" spans="37:43">
      <c r="AK2439" s="145"/>
      <c r="AL2439" s="145"/>
      <c r="AM2439" s="145"/>
      <c r="AN2439" s="145"/>
      <c r="AO2439" s="145"/>
      <c r="AP2439" s="145"/>
      <c r="AQ2439" s="145"/>
    </row>
    <row r="2440" spans="37:43">
      <c r="AK2440" s="145"/>
      <c r="AL2440" s="145"/>
      <c r="AM2440" s="145"/>
      <c r="AN2440" s="145"/>
      <c r="AO2440" s="145"/>
      <c r="AP2440" s="145"/>
      <c r="AQ2440" s="145"/>
    </row>
    <row r="2441" spans="37:43">
      <c r="AK2441" s="145"/>
      <c r="AL2441" s="145"/>
      <c r="AM2441" s="145"/>
      <c r="AN2441" s="145"/>
      <c r="AO2441" s="145"/>
      <c r="AP2441" s="145"/>
      <c r="AQ2441" s="145"/>
    </row>
    <row r="2442" spans="37:43">
      <c r="AK2442" s="145"/>
      <c r="AL2442" s="145"/>
      <c r="AM2442" s="145"/>
      <c r="AN2442" s="145"/>
      <c r="AO2442" s="145"/>
      <c r="AP2442" s="145"/>
      <c r="AQ2442" s="145"/>
    </row>
    <row r="2443" spans="37:43">
      <c r="AK2443" s="145"/>
      <c r="AL2443" s="145"/>
      <c r="AM2443" s="145"/>
      <c r="AN2443" s="145"/>
      <c r="AO2443" s="145"/>
      <c r="AP2443" s="145"/>
      <c r="AQ2443" s="145"/>
    </row>
    <row r="2444" spans="37:43">
      <c r="AK2444" s="145"/>
      <c r="AL2444" s="145"/>
      <c r="AM2444" s="145"/>
      <c r="AN2444" s="145"/>
      <c r="AO2444" s="145"/>
      <c r="AP2444" s="145"/>
      <c r="AQ2444" s="145"/>
    </row>
    <row r="2445" spans="37:43">
      <c r="AK2445" s="145"/>
      <c r="AL2445" s="145"/>
      <c r="AM2445" s="145"/>
      <c r="AN2445" s="145"/>
      <c r="AO2445" s="145"/>
      <c r="AP2445" s="145"/>
      <c r="AQ2445" s="145"/>
    </row>
    <row r="2446" spans="37:43">
      <c r="AK2446" s="145"/>
      <c r="AL2446" s="145"/>
      <c r="AM2446" s="145"/>
      <c r="AN2446" s="145"/>
      <c r="AO2446" s="145"/>
      <c r="AP2446" s="145"/>
      <c r="AQ2446" s="145"/>
    </row>
    <row r="2447" spans="37:43">
      <c r="AK2447" s="145"/>
      <c r="AL2447" s="145"/>
      <c r="AM2447" s="145"/>
      <c r="AN2447" s="145"/>
      <c r="AO2447" s="145"/>
      <c r="AP2447" s="145"/>
      <c r="AQ2447" s="145"/>
    </row>
    <row r="2448" spans="37:43">
      <c r="AK2448" s="145"/>
      <c r="AL2448" s="145"/>
      <c r="AM2448" s="145"/>
      <c r="AN2448" s="145"/>
      <c r="AO2448" s="145"/>
      <c r="AP2448" s="145"/>
      <c r="AQ2448" s="145"/>
    </row>
    <row r="2449" spans="37:43">
      <c r="AK2449" s="145"/>
      <c r="AL2449" s="145"/>
      <c r="AM2449" s="145"/>
      <c r="AN2449" s="145"/>
      <c r="AO2449" s="145"/>
      <c r="AP2449" s="145"/>
      <c r="AQ2449" s="145"/>
    </row>
    <row r="2450" spans="37:43">
      <c r="AK2450" s="145"/>
      <c r="AL2450" s="145"/>
      <c r="AM2450" s="145"/>
      <c r="AN2450" s="145"/>
      <c r="AO2450" s="145"/>
      <c r="AP2450" s="145"/>
      <c r="AQ2450" s="145"/>
    </row>
    <row r="2451" spans="37:43">
      <c r="AK2451" s="145"/>
      <c r="AL2451" s="145"/>
      <c r="AM2451" s="145"/>
      <c r="AN2451" s="145"/>
      <c r="AO2451" s="145"/>
      <c r="AP2451" s="145"/>
      <c r="AQ2451" s="145"/>
    </row>
    <row r="2452" spans="37:43">
      <c r="AK2452" s="145"/>
      <c r="AL2452" s="145"/>
      <c r="AM2452" s="145"/>
      <c r="AN2452" s="145"/>
      <c r="AO2452" s="145"/>
      <c r="AP2452" s="145"/>
      <c r="AQ2452" s="145"/>
    </row>
    <row r="2453" spans="37:43">
      <c r="AK2453" s="145"/>
      <c r="AL2453" s="145"/>
      <c r="AM2453" s="145"/>
      <c r="AN2453" s="145"/>
      <c r="AO2453" s="145"/>
      <c r="AP2453" s="145"/>
      <c r="AQ2453" s="145"/>
    </row>
    <row r="2454" spans="37:43">
      <c r="AK2454" s="145"/>
      <c r="AL2454" s="145"/>
      <c r="AM2454" s="145"/>
      <c r="AN2454" s="145"/>
      <c r="AO2454" s="145"/>
      <c r="AP2454" s="145"/>
      <c r="AQ2454" s="145"/>
    </row>
    <row r="2455" spans="37:43">
      <c r="AK2455" s="145"/>
      <c r="AL2455" s="145"/>
      <c r="AM2455" s="145"/>
      <c r="AN2455" s="145"/>
      <c r="AO2455" s="145"/>
      <c r="AP2455" s="145"/>
      <c r="AQ2455" s="145"/>
    </row>
    <row r="2456" spans="37:43">
      <c r="AK2456" s="145"/>
      <c r="AL2456" s="145"/>
      <c r="AM2456" s="145"/>
      <c r="AN2456" s="145"/>
      <c r="AO2456" s="145"/>
      <c r="AP2456" s="145"/>
      <c r="AQ2456" s="145"/>
    </row>
    <row r="2457" spans="37:43">
      <c r="AK2457" s="145"/>
      <c r="AL2457" s="145"/>
      <c r="AM2457" s="145"/>
      <c r="AN2457" s="145"/>
      <c r="AO2457" s="145"/>
      <c r="AP2457" s="145"/>
      <c r="AQ2457" s="145"/>
    </row>
    <row r="2458" spans="37:43">
      <c r="AK2458" s="145"/>
      <c r="AL2458" s="145"/>
      <c r="AM2458" s="145"/>
      <c r="AN2458" s="145"/>
      <c r="AO2458" s="145"/>
      <c r="AP2458" s="145"/>
      <c r="AQ2458" s="145"/>
    </row>
    <row r="2459" spans="37:43">
      <c r="AK2459" s="145"/>
      <c r="AL2459" s="145"/>
      <c r="AM2459" s="145"/>
      <c r="AN2459" s="145"/>
      <c r="AO2459" s="145"/>
      <c r="AP2459" s="145"/>
      <c r="AQ2459" s="145"/>
    </row>
    <row r="2460" spans="37:43">
      <c r="AK2460" s="145"/>
      <c r="AL2460" s="145"/>
      <c r="AM2460" s="145"/>
      <c r="AN2460" s="145"/>
      <c r="AO2460" s="145"/>
      <c r="AP2460" s="145"/>
      <c r="AQ2460" s="145"/>
    </row>
    <row r="2461" spans="37:43">
      <c r="AK2461" s="145"/>
      <c r="AL2461" s="145"/>
      <c r="AM2461" s="145"/>
      <c r="AN2461" s="145"/>
      <c r="AO2461" s="145"/>
      <c r="AP2461" s="145"/>
      <c r="AQ2461" s="145"/>
    </row>
    <row r="2462" spans="37:43">
      <c r="AK2462" s="145"/>
      <c r="AL2462" s="145"/>
      <c r="AM2462" s="145"/>
      <c r="AN2462" s="145"/>
      <c r="AO2462" s="145"/>
      <c r="AP2462" s="145"/>
      <c r="AQ2462" s="145"/>
    </row>
    <row r="2463" spans="37:43">
      <c r="AK2463" s="145"/>
      <c r="AL2463" s="145"/>
      <c r="AM2463" s="145"/>
      <c r="AN2463" s="145"/>
      <c r="AO2463" s="145"/>
      <c r="AP2463" s="145"/>
      <c r="AQ2463" s="145"/>
    </row>
    <row r="2464" spans="37:43">
      <c r="AK2464" s="145"/>
      <c r="AL2464" s="145"/>
      <c r="AM2464" s="145"/>
      <c r="AN2464" s="145"/>
      <c r="AO2464" s="145"/>
      <c r="AP2464" s="145"/>
      <c r="AQ2464" s="145"/>
    </row>
    <row r="2465" spans="37:43">
      <c r="AK2465" s="145"/>
      <c r="AL2465" s="145"/>
      <c r="AM2465" s="145"/>
      <c r="AN2465" s="145"/>
      <c r="AO2465" s="145"/>
      <c r="AP2465" s="145"/>
      <c r="AQ2465" s="145"/>
    </row>
    <row r="2466" spans="37:43">
      <c r="AK2466" s="145"/>
      <c r="AL2466" s="145"/>
      <c r="AM2466" s="145"/>
      <c r="AN2466" s="145"/>
      <c r="AO2466" s="145"/>
      <c r="AP2466" s="145"/>
      <c r="AQ2466" s="145"/>
    </row>
    <row r="2467" spans="37:43">
      <c r="AK2467" s="145"/>
      <c r="AL2467" s="145"/>
      <c r="AM2467" s="145"/>
      <c r="AN2467" s="145"/>
      <c r="AO2467" s="145"/>
      <c r="AP2467" s="145"/>
      <c r="AQ2467" s="145"/>
    </row>
    <row r="2468" spans="37:43">
      <c r="AK2468" s="145"/>
      <c r="AL2468" s="145"/>
      <c r="AM2468" s="145"/>
      <c r="AN2468" s="145"/>
      <c r="AO2468" s="145"/>
      <c r="AP2468" s="145"/>
      <c r="AQ2468" s="145"/>
    </row>
    <row r="2469" spans="37:43">
      <c r="AK2469" s="145"/>
      <c r="AL2469" s="145"/>
      <c r="AM2469" s="145"/>
      <c r="AN2469" s="145"/>
      <c r="AO2469" s="145"/>
      <c r="AP2469" s="145"/>
      <c r="AQ2469" s="145"/>
    </row>
    <row r="2470" spans="37:43">
      <c r="AK2470" s="145"/>
      <c r="AL2470" s="145"/>
      <c r="AM2470" s="145"/>
      <c r="AN2470" s="145"/>
      <c r="AO2470" s="145"/>
      <c r="AP2470" s="145"/>
      <c r="AQ2470" s="145"/>
    </row>
    <row r="2471" spans="37:43">
      <c r="AK2471" s="145"/>
      <c r="AL2471" s="145"/>
      <c r="AM2471" s="145"/>
      <c r="AN2471" s="145"/>
      <c r="AO2471" s="145"/>
      <c r="AP2471" s="145"/>
      <c r="AQ2471" s="145"/>
    </row>
    <row r="2472" spans="37:43">
      <c r="AK2472" s="145"/>
      <c r="AL2472" s="145"/>
      <c r="AM2472" s="145"/>
      <c r="AN2472" s="145"/>
      <c r="AO2472" s="145"/>
      <c r="AP2472" s="145"/>
      <c r="AQ2472" s="145"/>
    </row>
    <row r="2473" spans="37:43">
      <c r="AK2473" s="145"/>
      <c r="AL2473" s="145"/>
      <c r="AM2473" s="145"/>
      <c r="AN2473" s="145"/>
      <c r="AO2473" s="145"/>
      <c r="AP2473" s="145"/>
      <c r="AQ2473" s="145"/>
    </row>
    <row r="2474" spans="37:43">
      <c r="AK2474" s="145"/>
      <c r="AL2474" s="145"/>
      <c r="AM2474" s="145"/>
      <c r="AN2474" s="145"/>
      <c r="AO2474" s="145"/>
      <c r="AP2474" s="145"/>
      <c r="AQ2474" s="145"/>
    </row>
    <row r="2475" spans="37:43">
      <c r="AK2475" s="145"/>
      <c r="AL2475" s="145"/>
      <c r="AM2475" s="145"/>
      <c r="AN2475" s="145"/>
      <c r="AO2475" s="145"/>
      <c r="AP2475" s="145"/>
      <c r="AQ2475" s="145"/>
    </row>
    <row r="2476" spans="37:43">
      <c r="AK2476" s="145"/>
      <c r="AL2476" s="145"/>
      <c r="AM2476" s="145"/>
      <c r="AN2476" s="145"/>
      <c r="AO2476" s="145"/>
      <c r="AP2476" s="145"/>
      <c r="AQ2476" s="145"/>
    </row>
    <row r="2477" spans="37:43">
      <c r="AK2477" s="145"/>
      <c r="AL2477" s="145"/>
      <c r="AM2477" s="145"/>
      <c r="AN2477" s="145"/>
      <c r="AO2477" s="145"/>
      <c r="AP2477" s="145"/>
      <c r="AQ2477" s="145"/>
    </row>
    <row r="2478" spans="37:43">
      <c r="AK2478" s="145"/>
      <c r="AL2478" s="145"/>
      <c r="AM2478" s="145"/>
      <c r="AN2478" s="145"/>
      <c r="AO2478" s="145"/>
      <c r="AP2478" s="145"/>
      <c r="AQ2478" s="145"/>
    </row>
    <row r="2479" spans="37:43">
      <c r="AK2479" s="145"/>
      <c r="AL2479" s="145"/>
      <c r="AM2479" s="145"/>
      <c r="AN2479" s="145"/>
      <c r="AO2479" s="145"/>
      <c r="AP2479" s="145"/>
      <c r="AQ2479" s="145"/>
    </row>
    <row r="2480" spans="37:43">
      <c r="AK2480" s="145"/>
      <c r="AL2480" s="145"/>
      <c r="AM2480" s="145"/>
      <c r="AN2480" s="145"/>
      <c r="AO2480" s="145"/>
      <c r="AP2480" s="145"/>
      <c r="AQ2480" s="145"/>
    </row>
    <row r="2481" spans="37:43">
      <c r="AK2481" s="145"/>
      <c r="AL2481" s="145"/>
      <c r="AM2481" s="145"/>
      <c r="AN2481" s="145"/>
      <c r="AO2481" s="145"/>
      <c r="AP2481" s="145"/>
      <c r="AQ2481" s="145"/>
    </row>
    <row r="2482" spans="37:43">
      <c r="AK2482" s="145"/>
      <c r="AL2482" s="145"/>
      <c r="AM2482" s="145"/>
      <c r="AN2482" s="145"/>
      <c r="AO2482" s="145"/>
      <c r="AP2482" s="145"/>
      <c r="AQ2482" s="145"/>
    </row>
    <row r="2483" spans="37:43">
      <c r="AK2483" s="145"/>
      <c r="AL2483" s="145"/>
      <c r="AM2483" s="145"/>
      <c r="AN2483" s="145"/>
      <c r="AO2483" s="145"/>
      <c r="AP2483" s="145"/>
      <c r="AQ2483" s="145"/>
    </row>
    <row r="2484" spans="37:43">
      <c r="AK2484" s="145"/>
      <c r="AL2484" s="145"/>
      <c r="AM2484" s="145"/>
      <c r="AN2484" s="145"/>
      <c r="AO2484" s="145"/>
      <c r="AP2484" s="145"/>
      <c r="AQ2484" s="145"/>
    </row>
    <row r="2485" spans="37:43">
      <c r="AK2485" s="145"/>
      <c r="AL2485" s="145"/>
      <c r="AM2485" s="145"/>
      <c r="AN2485" s="145"/>
      <c r="AO2485" s="145"/>
      <c r="AP2485" s="145"/>
      <c r="AQ2485" s="145"/>
    </row>
    <row r="2486" spans="37:43">
      <c r="AK2486" s="145"/>
      <c r="AL2486" s="145"/>
      <c r="AM2486" s="145"/>
      <c r="AN2486" s="145"/>
      <c r="AO2486" s="145"/>
      <c r="AP2486" s="145"/>
      <c r="AQ2486" s="145"/>
    </row>
    <row r="2487" spans="37:43">
      <c r="AK2487" s="145"/>
      <c r="AL2487" s="145"/>
      <c r="AM2487" s="145"/>
      <c r="AN2487" s="145"/>
      <c r="AO2487" s="145"/>
      <c r="AP2487" s="145"/>
      <c r="AQ2487" s="145"/>
    </row>
    <row r="2488" spans="37:43">
      <c r="AK2488" s="145"/>
      <c r="AL2488" s="145"/>
      <c r="AM2488" s="145"/>
      <c r="AN2488" s="145"/>
      <c r="AO2488" s="145"/>
      <c r="AP2488" s="145"/>
      <c r="AQ2488" s="145"/>
    </row>
    <row r="2489" spans="37:43">
      <c r="AK2489" s="145"/>
      <c r="AL2489" s="145"/>
      <c r="AM2489" s="145"/>
      <c r="AN2489" s="145"/>
      <c r="AO2489" s="145"/>
      <c r="AP2489" s="145"/>
      <c r="AQ2489" s="145"/>
    </row>
    <row r="2490" spans="37:43">
      <c r="AK2490" s="145"/>
      <c r="AL2490" s="145"/>
      <c r="AM2490" s="145"/>
      <c r="AN2490" s="145"/>
      <c r="AO2490" s="145"/>
      <c r="AP2490" s="145"/>
      <c r="AQ2490" s="145"/>
    </row>
    <row r="2491" spans="37:43">
      <c r="AK2491" s="145"/>
      <c r="AL2491" s="145"/>
      <c r="AM2491" s="145"/>
      <c r="AN2491" s="145"/>
      <c r="AO2491" s="145"/>
      <c r="AP2491" s="145"/>
      <c r="AQ2491" s="145"/>
    </row>
    <row r="2492" spans="37:43">
      <c r="AK2492" s="145"/>
      <c r="AL2492" s="145"/>
      <c r="AM2492" s="145"/>
      <c r="AN2492" s="145"/>
      <c r="AO2492" s="145"/>
      <c r="AP2492" s="145"/>
      <c r="AQ2492" s="145"/>
    </row>
    <row r="2493" spans="37:43">
      <c r="AK2493" s="145"/>
      <c r="AL2493" s="145"/>
      <c r="AM2493" s="145"/>
      <c r="AN2493" s="145"/>
      <c r="AO2493" s="145"/>
      <c r="AP2493" s="145"/>
      <c r="AQ2493" s="145"/>
    </row>
    <row r="2494" spans="37:43">
      <c r="AK2494" s="145"/>
      <c r="AL2494" s="145"/>
      <c r="AM2494" s="145"/>
      <c r="AN2494" s="145"/>
      <c r="AO2494" s="145"/>
      <c r="AP2494" s="145"/>
      <c r="AQ2494" s="145"/>
    </row>
    <row r="2495" spans="37:43">
      <c r="AK2495" s="145"/>
      <c r="AL2495" s="145"/>
      <c r="AM2495" s="145"/>
      <c r="AN2495" s="145"/>
      <c r="AO2495" s="145"/>
      <c r="AP2495" s="145"/>
      <c r="AQ2495" s="145"/>
    </row>
    <row r="2496" spans="37:43">
      <c r="AK2496" s="145"/>
      <c r="AL2496" s="145"/>
      <c r="AM2496" s="145"/>
      <c r="AN2496" s="145"/>
      <c r="AO2496" s="145"/>
      <c r="AP2496" s="145"/>
      <c r="AQ2496" s="145"/>
    </row>
    <row r="2497" spans="37:43">
      <c r="AK2497" s="145"/>
      <c r="AL2497" s="145"/>
      <c r="AM2497" s="145"/>
      <c r="AN2497" s="145"/>
      <c r="AO2497" s="145"/>
      <c r="AP2497" s="145"/>
      <c r="AQ2497" s="145"/>
    </row>
    <row r="2498" spans="37:43">
      <c r="AK2498" s="145"/>
      <c r="AL2498" s="145"/>
      <c r="AM2498" s="145"/>
      <c r="AN2498" s="145"/>
      <c r="AO2498" s="145"/>
      <c r="AP2498" s="145"/>
      <c r="AQ2498" s="145"/>
    </row>
    <row r="2499" spans="37:43">
      <c r="AK2499" s="145"/>
      <c r="AL2499" s="145"/>
      <c r="AM2499" s="145"/>
      <c r="AN2499" s="145"/>
      <c r="AO2499" s="145"/>
      <c r="AP2499" s="145"/>
      <c r="AQ2499" s="145"/>
    </row>
    <row r="2500" spans="37:43">
      <c r="AK2500" s="145"/>
      <c r="AL2500" s="145"/>
      <c r="AM2500" s="145"/>
      <c r="AN2500" s="145"/>
      <c r="AO2500" s="145"/>
      <c r="AP2500" s="145"/>
      <c r="AQ2500" s="145"/>
    </row>
    <row r="2501" spans="37:43">
      <c r="AK2501" s="145"/>
      <c r="AL2501" s="145"/>
      <c r="AM2501" s="145"/>
      <c r="AN2501" s="145"/>
      <c r="AO2501" s="145"/>
      <c r="AP2501" s="145"/>
      <c r="AQ2501" s="145"/>
    </row>
    <row r="2502" spans="37:43">
      <c r="AK2502" s="145"/>
      <c r="AL2502" s="145"/>
      <c r="AM2502" s="145"/>
      <c r="AN2502" s="145"/>
      <c r="AO2502" s="145"/>
      <c r="AP2502" s="145"/>
      <c r="AQ2502" s="145"/>
    </row>
    <row r="2503" spans="37:43">
      <c r="AK2503" s="145"/>
      <c r="AL2503" s="145"/>
      <c r="AM2503" s="145"/>
      <c r="AN2503" s="145"/>
      <c r="AO2503" s="145"/>
      <c r="AP2503" s="145"/>
      <c r="AQ2503" s="145"/>
    </row>
    <row r="2504" spans="37:43">
      <c r="AK2504" s="145"/>
      <c r="AL2504" s="145"/>
      <c r="AM2504" s="145"/>
      <c r="AN2504" s="145"/>
      <c r="AO2504" s="145"/>
      <c r="AP2504" s="145"/>
      <c r="AQ2504" s="145"/>
    </row>
    <row r="2505" spans="37:43">
      <c r="AK2505" s="145"/>
      <c r="AL2505" s="145"/>
      <c r="AM2505" s="145"/>
      <c r="AN2505" s="145"/>
      <c r="AO2505" s="145"/>
      <c r="AP2505" s="145"/>
      <c r="AQ2505" s="145"/>
    </row>
    <row r="2506" spans="37:43">
      <c r="AK2506" s="145"/>
      <c r="AL2506" s="145"/>
      <c r="AM2506" s="145"/>
      <c r="AN2506" s="145"/>
      <c r="AO2506" s="145"/>
      <c r="AP2506" s="145"/>
      <c r="AQ2506" s="145"/>
    </row>
    <row r="2507" spans="37:43">
      <c r="AK2507" s="145"/>
      <c r="AL2507" s="145"/>
      <c r="AM2507" s="145"/>
      <c r="AN2507" s="145"/>
      <c r="AO2507" s="145"/>
      <c r="AP2507" s="145"/>
      <c r="AQ2507" s="145"/>
    </row>
    <row r="2508" spans="37:43">
      <c r="AK2508" s="145"/>
      <c r="AL2508" s="145"/>
      <c r="AM2508" s="145"/>
      <c r="AN2508" s="145"/>
      <c r="AO2508" s="145"/>
      <c r="AP2508" s="145"/>
      <c r="AQ2508" s="145"/>
    </row>
    <row r="2509" spans="37:43">
      <c r="AK2509" s="145"/>
      <c r="AL2509" s="145"/>
      <c r="AM2509" s="145"/>
      <c r="AN2509" s="145"/>
      <c r="AO2509" s="145"/>
      <c r="AP2509" s="145"/>
      <c r="AQ2509" s="145"/>
    </row>
    <row r="2510" spans="37:43">
      <c r="AK2510" s="145"/>
      <c r="AL2510" s="145"/>
      <c r="AM2510" s="145"/>
      <c r="AN2510" s="145"/>
      <c r="AO2510" s="145"/>
      <c r="AP2510" s="145"/>
      <c r="AQ2510" s="145"/>
    </row>
    <row r="2511" spans="37:43">
      <c r="AK2511" s="145"/>
      <c r="AL2511" s="145"/>
      <c r="AM2511" s="145"/>
      <c r="AN2511" s="145"/>
      <c r="AO2511" s="145"/>
      <c r="AP2511" s="145"/>
      <c r="AQ2511" s="145"/>
    </row>
    <row r="2512" spans="37:43">
      <c r="AK2512" s="145"/>
      <c r="AL2512" s="145"/>
      <c r="AM2512" s="145"/>
      <c r="AN2512" s="145"/>
      <c r="AO2512" s="145"/>
      <c r="AP2512" s="145"/>
      <c r="AQ2512" s="145"/>
    </row>
    <row r="2513" spans="37:43">
      <c r="AK2513" s="145"/>
      <c r="AL2513" s="145"/>
      <c r="AM2513" s="145"/>
      <c r="AN2513" s="145"/>
      <c r="AO2513" s="145"/>
      <c r="AP2513" s="145"/>
      <c r="AQ2513" s="145"/>
    </row>
    <row r="2514" spans="37:43">
      <c r="AK2514" s="145"/>
      <c r="AL2514" s="145"/>
      <c r="AM2514" s="145"/>
      <c r="AN2514" s="145"/>
      <c r="AO2514" s="145"/>
      <c r="AP2514" s="145"/>
      <c r="AQ2514" s="145"/>
    </row>
    <row r="2515" spans="37:43">
      <c r="AK2515" s="145"/>
      <c r="AL2515" s="145"/>
      <c r="AM2515" s="145"/>
      <c r="AN2515" s="145"/>
      <c r="AO2515" s="145"/>
      <c r="AP2515" s="145"/>
      <c r="AQ2515" s="145"/>
    </row>
    <row r="2516" spans="37:43">
      <c r="AK2516" s="145"/>
      <c r="AL2516" s="145"/>
      <c r="AM2516" s="145"/>
      <c r="AN2516" s="145"/>
      <c r="AO2516" s="145"/>
      <c r="AP2516" s="145"/>
      <c r="AQ2516" s="145"/>
    </row>
    <row r="2517" spans="37:43">
      <c r="AK2517" s="145"/>
      <c r="AL2517" s="145"/>
      <c r="AM2517" s="145"/>
      <c r="AN2517" s="145"/>
      <c r="AO2517" s="145"/>
      <c r="AP2517" s="145"/>
      <c r="AQ2517" s="145"/>
    </row>
    <row r="2518" spans="37:43">
      <c r="AK2518" s="145"/>
      <c r="AL2518" s="145"/>
      <c r="AM2518" s="145"/>
      <c r="AN2518" s="145"/>
      <c r="AO2518" s="145"/>
      <c r="AP2518" s="145"/>
      <c r="AQ2518" s="145"/>
    </row>
    <row r="2519" spans="37:43">
      <c r="AK2519" s="145"/>
      <c r="AL2519" s="145"/>
      <c r="AM2519" s="145"/>
      <c r="AN2519" s="145"/>
      <c r="AO2519" s="145"/>
      <c r="AP2519" s="145"/>
      <c r="AQ2519" s="145"/>
    </row>
    <row r="2520" spans="37:43">
      <c r="AK2520" s="145"/>
      <c r="AL2520" s="145"/>
      <c r="AM2520" s="145"/>
      <c r="AN2520" s="145"/>
      <c r="AO2520" s="145"/>
      <c r="AP2520" s="145"/>
      <c r="AQ2520" s="145"/>
    </row>
    <row r="2521" spans="37:43">
      <c r="AK2521" s="145"/>
      <c r="AL2521" s="145"/>
      <c r="AM2521" s="145"/>
      <c r="AN2521" s="145"/>
      <c r="AO2521" s="145"/>
      <c r="AP2521" s="145"/>
      <c r="AQ2521" s="145"/>
    </row>
    <row r="2522" spans="37:43">
      <c r="AK2522" s="145"/>
      <c r="AL2522" s="145"/>
      <c r="AM2522" s="145"/>
      <c r="AN2522" s="145"/>
      <c r="AO2522" s="145"/>
      <c r="AP2522" s="145"/>
      <c r="AQ2522" s="145"/>
    </row>
    <row r="2523" spans="37:43">
      <c r="AK2523" s="145"/>
      <c r="AL2523" s="145"/>
      <c r="AM2523" s="145"/>
      <c r="AN2523" s="145"/>
      <c r="AO2523" s="145"/>
      <c r="AP2523" s="145"/>
      <c r="AQ2523" s="145"/>
    </row>
    <row r="2524" spans="37:43">
      <c r="AK2524" s="145"/>
      <c r="AL2524" s="145"/>
      <c r="AM2524" s="145"/>
      <c r="AN2524" s="145"/>
      <c r="AO2524" s="145"/>
      <c r="AP2524" s="145"/>
      <c r="AQ2524" s="145"/>
    </row>
    <row r="2525" spans="37:43">
      <c r="AK2525" s="145"/>
      <c r="AL2525" s="145"/>
      <c r="AM2525" s="145"/>
      <c r="AN2525" s="145"/>
      <c r="AO2525" s="145"/>
      <c r="AP2525" s="145"/>
      <c r="AQ2525" s="145"/>
    </row>
    <row r="2526" spans="37:43">
      <c r="AK2526" s="145"/>
      <c r="AL2526" s="145"/>
      <c r="AM2526" s="145"/>
      <c r="AN2526" s="145"/>
      <c r="AO2526" s="145"/>
      <c r="AP2526" s="145"/>
      <c r="AQ2526" s="145"/>
    </row>
    <row r="2527" spans="37:43">
      <c r="AK2527" s="145"/>
      <c r="AL2527" s="145"/>
      <c r="AM2527" s="145"/>
      <c r="AN2527" s="145"/>
      <c r="AO2527" s="145"/>
      <c r="AP2527" s="145"/>
      <c r="AQ2527" s="145"/>
    </row>
    <row r="2528" spans="37:43">
      <c r="AK2528" s="145"/>
      <c r="AL2528" s="145"/>
      <c r="AM2528" s="145"/>
      <c r="AN2528" s="145"/>
      <c r="AO2528" s="145"/>
      <c r="AP2528" s="145"/>
      <c r="AQ2528" s="145"/>
    </row>
    <row r="2529" spans="37:43">
      <c r="AK2529" s="145"/>
      <c r="AL2529" s="145"/>
      <c r="AM2529" s="145"/>
      <c r="AN2529" s="145"/>
      <c r="AO2529" s="145"/>
      <c r="AP2529" s="145"/>
      <c r="AQ2529" s="145"/>
    </row>
    <row r="2530" spans="37:43">
      <c r="AK2530" s="145"/>
      <c r="AL2530" s="145"/>
      <c r="AM2530" s="145"/>
      <c r="AN2530" s="145"/>
      <c r="AO2530" s="145"/>
      <c r="AP2530" s="145"/>
      <c r="AQ2530" s="145"/>
    </row>
    <row r="2531" spans="37:43">
      <c r="AK2531" s="145"/>
      <c r="AL2531" s="145"/>
      <c r="AM2531" s="145"/>
      <c r="AN2531" s="145"/>
      <c r="AO2531" s="145"/>
      <c r="AP2531" s="145"/>
      <c r="AQ2531" s="145"/>
    </row>
    <row r="2532" spans="37:43">
      <c r="AK2532" s="145"/>
      <c r="AL2532" s="145"/>
      <c r="AM2532" s="145"/>
      <c r="AN2532" s="145"/>
      <c r="AO2532" s="145"/>
      <c r="AP2532" s="145"/>
      <c r="AQ2532" s="145"/>
    </row>
    <row r="2533" spans="37:43">
      <c r="AK2533" s="145"/>
      <c r="AL2533" s="145"/>
      <c r="AM2533" s="145"/>
      <c r="AN2533" s="145"/>
      <c r="AO2533" s="145"/>
      <c r="AP2533" s="145"/>
      <c r="AQ2533" s="145"/>
    </row>
    <row r="2534" spans="37:43">
      <c r="AK2534" s="145"/>
      <c r="AL2534" s="145"/>
      <c r="AM2534" s="145"/>
      <c r="AN2534" s="145"/>
      <c r="AO2534" s="145"/>
      <c r="AP2534" s="145"/>
      <c r="AQ2534" s="145"/>
    </row>
    <row r="2535" spans="37:43">
      <c r="AK2535" s="145"/>
      <c r="AL2535" s="145"/>
      <c r="AM2535" s="145"/>
      <c r="AN2535" s="145"/>
      <c r="AO2535" s="145"/>
      <c r="AP2535" s="145"/>
      <c r="AQ2535" s="145"/>
    </row>
    <row r="2536" spans="37:43">
      <c r="AK2536" s="145"/>
      <c r="AL2536" s="145"/>
      <c r="AM2536" s="145"/>
      <c r="AN2536" s="145"/>
      <c r="AO2536" s="145"/>
      <c r="AP2536" s="145"/>
      <c r="AQ2536" s="145"/>
    </row>
    <row r="2537" spans="37:43">
      <c r="AK2537" s="145"/>
      <c r="AL2537" s="145"/>
      <c r="AM2537" s="145"/>
      <c r="AN2537" s="145"/>
      <c r="AO2537" s="145"/>
      <c r="AP2537" s="145"/>
      <c r="AQ2537" s="145"/>
    </row>
    <row r="2538" spans="37:43">
      <c r="AK2538" s="145"/>
      <c r="AL2538" s="145"/>
      <c r="AM2538" s="145"/>
      <c r="AN2538" s="145"/>
      <c r="AO2538" s="145"/>
      <c r="AP2538" s="145"/>
      <c r="AQ2538" s="145"/>
    </row>
    <row r="2539" spans="37:43">
      <c r="AK2539" s="145"/>
      <c r="AL2539" s="145"/>
      <c r="AM2539" s="145"/>
      <c r="AN2539" s="145"/>
      <c r="AO2539" s="145"/>
      <c r="AP2539" s="145"/>
      <c r="AQ2539" s="145"/>
    </row>
    <row r="2540" spans="37:43">
      <c r="AK2540" s="145"/>
      <c r="AL2540" s="145"/>
      <c r="AM2540" s="145"/>
      <c r="AN2540" s="145"/>
      <c r="AO2540" s="145"/>
      <c r="AP2540" s="145"/>
      <c r="AQ2540" s="145"/>
    </row>
    <row r="2541" spans="37:43">
      <c r="AK2541" s="145"/>
      <c r="AL2541" s="145"/>
      <c r="AM2541" s="145"/>
      <c r="AN2541" s="145"/>
      <c r="AO2541" s="145"/>
      <c r="AP2541" s="145"/>
      <c r="AQ2541" s="145"/>
    </row>
    <row r="2542" spans="37:43">
      <c r="AK2542" s="145"/>
      <c r="AL2542" s="145"/>
      <c r="AM2542" s="145"/>
      <c r="AN2542" s="145"/>
      <c r="AO2542" s="145"/>
      <c r="AP2542" s="145"/>
      <c r="AQ2542" s="145"/>
    </row>
    <row r="2543" spans="37:43">
      <c r="AK2543" s="145"/>
      <c r="AL2543" s="145"/>
      <c r="AM2543" s="145"/>
      <c r="AN2543" s="145"/>
      <c r="AO2543" s="145"/>
      <c r="AP2543" s="145"/>
      <c r="AQ2543" s="145"/>
    </row>
    <row r="2544" spans="37:43">
      <c r="AK2544" s="145"/>
      <c r="AL2544" s="145"/>
      <c r="AM2544" s="145"/>
      <c r="AN2544" s="145"/>
      <c r="AO2544" s="145"/>
      <c r="AP2544" s="145"/>
      <c r="AQ2544" s="145"/>
    </row>
    <row r="2545" spans="37:43">
      <c r="AK2545" s="145"/>
      <c r="AL2545" s="145"/>
      <c r="AM2545" s="145"/>
      <c r="AN2545" s="145"/>
      <c r="AO2545" s="145"/>
      <c r="AP2545" s="145"/>
      <c r="AQ2545" s="145"/>
    </row>
    <row r="2546" spans="37:43">
      <c r="AK2546" s="145"/>
      <c r="AL2546" s="145"/>
      <c r="AM2546" s="145"/>
      <c r="AN2546" s="145"/>
      <c r="AO2546" s="145"/>
      <c r="AP2546" s="145"/>
      <c r="AQ2546" s="145"/>
    </row>
    <row r="2547" spans="37:43">
      <c r="AK2547" s="145"/>
      <c r="AL2547" s="145"/>
      <c r="AM2547" s="145"/>
      <c r="AN2547" s="145"/>
      <c r="AO2547" s="145"/>
      <c r="AP2547" s="145"/>
      <c r="AQ2547" s="145"/>
    </row>
    <row r="2548" spans="37:43">
      <c r="AK2548" s="145"/>
      <c r="AL2548" s="145"/>
      <c r="AM2548" s="145"/>
      <c r="AN2548" s="145"/>
      <c r="AO2548" s="145"/>
      <c r="AP2548" s="145"/>
      <c r="AQ2548" s="145"/>
    </row>
    <row r="2549" spans="37:43">
      <c r="AK2549" s="145"/>
      <c r="AL2549" s="145"/>
      <c r="AM2549" s="145"/>
      <c r="AN2549" s="145"/>
      <c r="AO2549" s="145"/>
      <c r="AP2549" s="145"/>
      <c r="AQ2549" s="145"/>
    </row>
    <row r="2550" spans="37:43">
      <c r="AK2550" s="145"/>
      <c r="AL2550" s="145"/>
      <c r="AM2550" s="145"/>
      <c r="AN2550" s="145"/>
      <c r="AO2550" s="145"/>
      <c r="AP2550" s="145"/>
      <c r="AQ2550" s="145"/>
    </row>
    <row r="2551" spans="37:43">
      <c r="AK2551" s="145"/>
      <c r="AL2551" s="145"/>
      <c r="AM2551" s="145"/>
      <c r="AN2551" s="145"/>
      <c r="AO2551" s="145"/>
      <c r="AP2551" s="145"/>
      <c r="AQ2551" s="145"/>
    </row>
    <row r="2552" spans="37:43">
      <c r="AK2552" s="145"/>
      <c r="AL2552" s="145"/>
      <c r="AM2552" s="145"/>
      <c r="AN2552" s="145"/>
      <c r="AO2552" s="145"/>
      <c r="AP2552" s="145"/>
      <c r="AQ2552" s="145"/>
    </row>
    <row r="2553" spans="37:43">
      <c r="AK2553" s="145"/>
      <c r="AL2553" s="145"/>
      <c r="AM2553" s="145"/>
      <c r="AN2553" s="145"/>
      <c r="AO2553" s="145"/>
      <c r="AP2553" s="145"/>
      <c r="AQ2553" s="145"/>
    </row>
    <row r="2554" spans="37:43">
      <c r="AK2554" s="145"/>
      <c r="AL2554" s="145"/>
      <c r="AM2554" s="145"/>
      <c r="AN2554" s="145"/>
      <c r="AO2554" s="145"/>
      <c r="AP2554" s="145"/>
      <c r="AQ2554" s="145"/>
    </row>
    <row r="2555" spans="37:43">
      <c r="AK2555" s="145"/>
      <c r="AL2555" s="145"/>
      <c r="AM2555" s="145"/>
      <c r="AN2555" s="145"/>
      <c r="AO2555" s="145"/>
      <c r="AP2555" s="145"/>
      <c r="AQ2555" s="145"/>
    </row>
    <row r="2556" spans="37:43">
      <c r="AK2556" s="145"/>
      <c r="AL2556" s="145"/>
      <c r="AM2556" s="145"/>
      <c r="AN2556" s="145"/>
      <c r="AO2556" s="145"/>
      <c r="AP2556" s="145"/>
      <c r="AQ2556" s="145"/>
    </row>
    <row r="2557" spans="37:43">
      <c r="AK2557" s="145"/>
      <c r="AL2557" s="145"/>
      <c r="AM2557" s="145"/>
      <c r="AN2557" s="145"/>
      <c r="AO2557" s="145"/>
      <c r="AP2557" s="145"/>
      <c r="AQ2557" s="145"/>
    </row>
    <row r="2558" spans="37:43">
      <c r="AK2558" s="145"/>
      <c r="AL2558" s="145"/>
      <c r="AM2558" s="145"/>
      <c r="AN2558" s="145"/>
      <c r="AO2558" s="145"/>
      <c r="AP2558" s="145"/>
      <c r="AQ2558" s="145"/>
    </row>
    <row r="2559" spans="37:43">
      <c r="AK2559" s="145"/>
      <c r="AL2559" s="145"/>
      <c r="AM2559" s="145"/>
      <c r="AN2559" s="145"/>
      <c r="AO2559" s="145"/>
      <c r="AP2559" s="145"/>
      <c r="AQ2559" s="145"/>
    </row>
    <row r="2560" spans="37:43">
      <c r="AK2560" s="145"/>
      <c r="AL2560" s="145"/>
      <c r="AM2560" s="145"/>
      <c r="AN2560" s="145"/>
      <c r="AO2560" s="145"/>
      <c r="AP2560" s="145"/>
      <c r="AQ2560" s="145"/>
    </row>
    <row r="2561" spans="37:43">
      <c r="AK2561" s="145"/>
      <c r="AL2561" s="145"/>
      <c r="AM2561" s="145"/>
      <c r="AN2561" s="145"/>
      <c r="AO2561" s="145"/>
      <c r="AP2561" s="145"/>
      <c r="AQ2561" s="145"/>
    </row>
    <row r="2562" spans="37:43">
      <c r="AK2562" s="145"/>
      <c r="AL2562" s="145"/>
      <c r="AM2562" s="145"/>
      <c r="AN2562" s="145"/>
      <c r="AO2562" s="145"/>
      <c r="AP2562" s="145"/>
      <c r="AQ2562" s="145"/>
    </row>
    <row r="2563" spans="37:43">
      <c r="AK2563" s="145"/>
      <c r="AL2563" s="145"/>
      <c r="AM2563" s="145"/>
      <c r="AN2563" s="145"/>
      <c r="AO2563" s="145"/>
      <c r="AP2563" s="145"/>
      <c r="AQ2563" s="145"/>
    </row>
    <row r="2564" spans="37:43">
      <c r="AK2564" s="145"/>
      <c r="AL2564" s="145"/>
      <c r="AM2564" s="145"/>
      <c r="AN2564" s="145"/>
      <c r="AO2564" s="145"/>
      <c r="AP2564" s="145"/>
      <c r="AQ2564" s="145"/>
    </row>
    <row r="2565" spans="37:43">
      <c r="AK2565" s="145"/>
      <c r="AL2565" s="145"/>
      <c r="AM2565" s="145"/>
      <c r="AN2565" s="145"/>
      <c r="AO2565" s="145"/>
      <c r="AP2565" s="145"/>
      <c r="AQ2565" s="145"/>
    </row>
    <row r="2566" spans="37:43">
      <c r="AK2566" s="145"/>
      <c r="AL2566" s="145"/>
      <c r="AM2566" s="145"/>
      <c r="AN2566" s="145"/>
      <c r="AO2566" s="145"/>
      <c r="AP2566" s="145"/>
      <c r="AQ2566" s="145"/>
    </row>
    <row r="2567" spans="37:43">
      <c r="AK2567" s="145"/>
      <c r="AL2567" s="145"/>
      <c r="AM2567" s="145"/>
      <c r="AN2567" s="145"/>
      <c r="AO2567" s="145"/>
      <c r="AP2567" s="145"/>
      <c r="AQ2567" s="145"/>
    </row>
    <row r="2568" spans="37:43">
      <c r="AK2568" s="145"/>
      <c r="AL2568" s="145"/>
      <c r="AM2568" s="145"/>
      <c r="AN2568" s="145"/>
      <c r="AO2568" s="145"/>
      <c r="AP2568" s="145"/>
      <c r="AQ2568" s="145"/>
    </row>
    <row r="2569" spans="37:43">
      <c r="AK2569" s="145"/>
      <c r="AL2569" s="145"/>
      <c r="AM2569" s="145"/>
      <c r="AN2569" s="145"/>
      <c r="AO2569" s="145"/>
      <c r="AP2569" s="145"/>
      <c r="AQ2569" s="145"/>
    </row>
    <row r="2570" spans="37:43">
      <c r="AK2570" s="145"/>
      <c r="AL2570" s="145"/>
      <c r="AM2570" s="145"/>
      <c r="AN2570" s="145"/>
      <c r="AO2570" s="145"/>
      <c r="AP2570" s="145"/>
      <c r="AQ2570" s="145"/>
    </row>
    <row r="2571" spans="37:43">
      <c r="AK2571" s="145"/>
      <c r="AL2571" s="145"/>
      <c r="AM2571" s="145"/>
      <c r="AN2571" s="145"/>
      <c r="AO2571" s="145"/>
      <c r="AP2571" s="145"/>
      <c r="AQ2571" s="145"/>
    </row>
    <row r="2572" spans="37:43">
      <c r="AK2572" s="145"/>
      <c r="AL2572" s="145"/>
      <c r="AM2572" s="145"/>
      <c r="AN2572" s="145"/>
      <c r="AO2572" s="145"/>
      <c r="AP2572" s="145"/>
      <c r="AQ2572" s="145"/>
    </row>
    <row r="2573" spans="37:43">
      <c r="AK2573" s="145"/>
      <c r="AL2573" s="145"/>
      <c r="AM2573" s="145"/>
      <c r="AN2573" s="145"/>
      <c r="AO2573" s="145"/>
      <c r="AP2573" s="145"/>
      <c r="AQ2573" s="145"/>
    </row>
    <row r="2574" spans="37:43">
      <c r="AK2574" s="145"/>
      <c r="AL2574" s="145"/>
      <c r="AM2574" s="145"/>
      <c r="AN2574" s="145"/>
      <c r="AO2574" s="145"/>
      <c r="AP2574" s="145"/>
      <c r="AQ2574" s="145"/>
    </row>
    <row r="2575" spans="37:43">
      <c r="AK2575" s="145"/>
      <c r="AL2575" s="145"/>
      <c r="AM2575" s="145"/>
      <c r="AN2575" s="145"/>
      <c r="AO2575" s="145"/>
      <c r="AP2575" s="145"/>
      <c r="AQ2575" s="145"/>
    </row>
    <row r="2576" spans="37:43">
      <c r="AK2576" s="145"/>
      <c r="AL2576" s="145"/>
      <c r="AM2576" s="145"/>
      <c r="AN2576" s="145"/>
      <c r="AO2576" s="145"/>
      <c r="AP2576" s="145"/>
      <c r="AQ2576" s="145"/>
    </row>
    <row r="2577" spans="37:43">
      <c r="AK2577" s="145"/>
      <c r="AL2577" s="145"/>
      <c r="AM2577" s="145"/>
      <c r="AN2577" s="145"/>
      <c r="AO2577" s="145"/>
      <c r="AP2577" s="145"/>
      <c r="AQ2577" s="145"/>
    </row>
    <row r="2578" spans="37:43">
      <c r="AK2578" s="145"/>
      <c r="AL2578" s="145"/>
      <c r="AM2578" s="145"/>
      <c r="AN2578" s="145"/>
      <c r="AO2578" s="145"/>
      <c r="AP2578" s="145"/>
      <c r="AQ2578" s="145"/>
    </row>
    <row r="2579" spans="37:43">
      <c r="AK2579" s="145"/>
      <c r="AL2579" s="145"/>
      <c r="AM2579" s="145"/>
      <c r="AN2579" s="145"/>
      <c r="AO2579" s="145"/>
      <c r="AP2579" s="145"/>
      <c r="AQ2579" s="145"/>
    </row>
    <row r="2580" spans="37:43">
      <c r="AK2580" s="145"/>
      <c r="AL2580" s="145"/>
      <c r="AM2580" s="145"/>
      <c r="AN2580" s="145"/>
      <c r="AO2580" s="145"/>
      <c r="AP2580" s="145"/>
      <c r="AQ2580" s="145"/>
    </row>
    <row r="2581" spans="37:43">
      <c r="AK2581" s="145"/>
      <c r="AL2581" s="145"/>
      <c r="AM2581" s="145"/>
      <c r="AN2581" s="145"/>
      <c r="AO2581" s="145"/>
      <c r="AP2581" s="145"/>
      <c r="AQ2581" s="145"/>
    </row>
    <row r="2582" spans="37:43">
      <c r="AK2582" s="145"/>
      <c r="AL2582" s="145"/>
      <c r="AM2582" s="145"/>
      <c r="AN2582" s="145"/>
      <c r="AO2582" s="145"/>
      <c r="AP2582" s="145"/>
      <c r="AQ2582" s="145"/>
    </row>
    <row r="2583" spans="37:43">
      <c r="AK2583" s="145"/>
      <c r="AL2583" s="145"/>
      <c r="AM2583" s="145"/>
      <c r="AN2583" s="145"/>
      <c r="AO2583" s="145"/>
      <c r="AP2583" s="145"/>
      <c r="AQ2583" s="145"/>
    </row>
    <row r="2584" spans="37:43">
      <c r="AK2584" s="145"/>
      <c r="AL2584" s="145"/>
      <c r="AM2584" s="145"/>
      <c r="AN2584" s="145"/>
      <c r="AO2584" s="145"/>
      <c r="AP2584" s="145"/>
      <c r="AQ2584" s="145"/>
    </row>
    <row r="2585" spans="37:43">
      <c r="AK2585" s="145"/>
      <c r="AL2585" s="145"/>
      <c r="AM2585" s="145"/>
      <c r="AN2585" s="145"/>
      <c r="AO2585" s="145"/>
      <c r="AP2585" s="145"/>
      <c r="AQ2585" s="145"/>
    </row>
    <row r="2586" spans="37:43">
      <c r="AK2586" s="145"/>
      <c r="AL2586" s="145"/>
      <c r="AM2586" s="145"/>
      <c r="AN2586" s="145"/>
      <c r="AO2586" s="145"/>
      <c r="AP2586" s="145"/>
      <c r="AQ2586" s="145"/>
    </row>
    <row r="2587" spans="37:43">
      <c r="AK2587" s="145"/>
      <c r="AL2587" s="145"/>
      <c r="AM2587" s="145"/>
      <c r="AN2587" s="145"/>
      <c r="AO2587" s="145"/>
      <c r="AP2587" s="145"/>
      <c r="AQ2587" s="145"/>
    </row>
    <row r="2588" spans="37:43">
      <c r="AK2588" s="145"/>
      <c r="AL2588" s="145"/>
      <c r="AM2588" s="145"/>
      <c r="AN2588" s="145"/>
      <c r="AO2588" s="145"/>
      <c r="AP2588" s="145"/>
      <c r="AQ2588" s="145"/>
    </row>
    <row r="2589" spans="37:43">
      <c r="AK2589" s="145"/>
      <c r="AL2589" s="145"/>
      <c r="AM2589" s="145"/>
      <c r="AN2589" s="145"/>
      <c r="AO2589" s="145"/>
      <c r="AP2589" s="145"/>
      <c r="AQ2589" s="145"/>
    </row>
    <row r="2590" spans="37:43">
      <c r="AK2590" s="145"/>
      <c r="AL2590" s="145"/>
      <c r="AM2590" s="145"/>
      <c r="AN2590" s="145"/>
      <c r="AO2590" s="145"/>
      <c r="AP2590" s="145"/>
      <c r="AQ2590" s="145"/>
    </row>
    <row r="2591" spans="37:43">
      <c r="AK2591" s="145"/>
      <c r="AL2591" s="145"/>
      <c r="AM2591" s="145"/>
      <c r="AN2591" s="145"/>
      <c r="AO2591" s="145"/>
      <c r="AP2591" s="145"/>
      <c r="AQ2591" s="145"/>
    </row>
    <row r="2592" spans="37:43">
      <c r="AK2592" s="145"/>
      <c r="AL2592" s="145"/>
      <c r="AM2592" s="145"/>
      <c r="AN2592" s="145"/>
      <c r="AO2592" s="145"/>
      <c r="AP2592" s="145"/>
      <c r="AQ2592" s="145"/>
    </row>
    <row r="2593" spans="37:43">
      <c r="AK2593" s="145"/>
      <c r="AL2593" s="145"/>
      <c r="AM2593" s="145"/>
      <c r="AN2593" s="145"/>
      <c r="AO2593" s="145"/>
      <c r="AP2593" s="145"/>
      <c r="AQ2593" s="145"/>
    </row>
    <row r="2594" spans="37:43">
      <c r="AK2594" s="145"/>
      <c r="AL2594" s="145"/>
      <c r="AM2594" s="145"/>
      <c r="AN2594" s="145"/>
      <c r="AO2594" s="145"/>
      <c r="AP2594" s="145"/>
      <c r="AQ2594" s="145"/>
    </row>
    <row r="2595" spans="37:43">
      <c r="AK2595" s="145"/>
      <c r="AL2595" s="145"/>
      <c r="AM2595" s="145"/>
      <c r="AN2595" s="145"/>
      <c r="AO2595" s="145"/>
      <c r="AP2595" s="145"/>
      <c r="AQ2595" s="145"/>
    </row>
    <row r="2596" spans="37:43">
      <c r="AK2596" s="145"/>
      <c r="AL2596" s="145"/>
      <c r="AM2596" s="145"/>
      <c r="AN2596" s="145"/>
      <c r="AO2596" s="145"/>
      <c r="AP2596" s="145"/>
      <c r="AQ2596" s="145"/>
    </row>
    <row r="2597" spans="37:43">
      <c r="AK2597" s="145"/>
      <c r="AL2597" s="145"/>
      <c r="AM2597" s="145"/>
      <c r="AN2597" s="145"/>
      <c r="AO2597" s="145"/>
      <c r="AP2597" s="145"/>
      <c r="AQ2597" s="145"/>
    </row>
    <row r="2598" spans="37:43">
      <c r="AK2598" s="145"/>
      <c r="AL2598" s="145"/>
      <c r="AM2598" s="145"/>
      <c r="AN2598" s="145"/>
      <c r="AO2598" s="145"/>
      <c r="AP2598" s="145"/>
      <c r="AQ2598" s="145"/>
    </row>
    <row r="2599" spans="37:43">
      <c r="AK2599" s="145"/>
      <c r="AL2599" s="145"/>
      <c r="AM2599" s="145"/>
      <c r="AN2599" s="145"/>
      <c r="AO2599" s="145"/>
      <c r="AP2599" s="145"/>
      <c r="AQ2599" s="145"/>
    </row>
    <row r="2600" spans="37:43">
      <c r="AK2600" s="145"/>
      <c r="AL2600" s="145"/>
      <c r="AM2600" s="145"/>
      <c r="AN2600" s="145"/>
      <c r="AO2600" s="145"/>
      <c r="AP2600" s="145"/>
      <c r="AQ2600" s="145"/>
    </row>
    <row r="2601" spans="37:43">
      <c r="AK2601" s="145"/>
      <c r="AL2601" s="145"/>
      <c r="AM2601" s="145"/>
      <c r="AN2601" s="145"/>
      <c r="AO2601" s="145"/>
      <c r="AP2601" s="145"/>
      <c r="AQ2601" s="145"/>
    </row>
    <row r="2602" spans="37:43">
      <c r="AK2602" s="145"/>
      <c r="AL2602" s="145"/>
      <c r="AM2602" s="145"/>
      <c r="AN2602" s="145"/>
      <c r="AO2602" s="145"/>
      <c r="AP2602" s="145"/>
      <c r="AQ2602" s="145"/>
    </row>
    <row r="2603" spans="37:43">
      <c r="AK2603" s="145"/>
      <c r="AL2603" s="145"/>
      <c r="AM2603" s="145"/>
      <c r="AN2603" s="145"/>
      <c r="AO2603" s="145"/>
      <c r="AP2603" s="145"/>
      <c r="AQ2603" s="145"/>
    </row>
    <row r="2604" spans="37:43">
      <c r="AK2604" s="145"/>
      <c r="AL2604" s="145"/>
      <c r="AM2604" s="145"/>
      <c r="AN2604" s="145"/>
      <c r="AO2604" s="145"/>
      <c r="AP2604" s="145"/>
      <c r="AQ2604" s="145"/>
    </row>
    <row r="2605" spans="37:43">
      <c r="AK2605" s="145"/>
      <c r="AL2605" s="145"/>
      <c r="AM2605" s="145"/>
      <c r="AN2605" s="145"/>
      <c r="AO2605" s="145"/>
      <c r="AP2605" s="145"/>
      <c r="AQ2605" s="145"/>
    </row>
    <row r="2606" spans="37:43">
      <c r="AK2606" s="145"/>
      <c r="AL2606" s="145"/>
      <c r="AM2606" s="145"/>
      <c r="AN2606" s="145"/>
      <c r="AO2606" s="145"/>
      <c r="AP2606" s="145"/>
      <c r="AQ2606" s="145"/>
    </row>
    <row r="2607" spans="37:43">
      <c r="AK2607" s="145"/>
      <c r="AL2607" s="145"/>
      <c r="AM2607" s="145"/>
      <c r="AN2607" s="145"/>
      <c r="AO2607" s="145"/>
      <c r="AP2607" s="145"/>
      <c r="AQ2607" s="145"/>
    </row>
    <row r="2608" spans="37:43">
      <c r="AK2608" s="145"/>
      <c r="AL2608" s="145"/>
      <c r="AM2608" s="145"/>
      <c r="AN2608" s="145"/>
      <c r="AO2608" s="145"/>
      <c r="AP2608" s="145"/>
      <c r="AQ2608" s="145"/>
    </row>
    <row r="2609" spans="37:43">
      <c r="AK2609" s="145"/>
      <c r="AL2609" s="145"/>
      <c r="AM2609" s="145"/>
      <c r="AN2609" s="145"/>
      <c r="AO2609" s="145"/>
      <c r="AP2609" s="145"/>
      <c r="AQ2609" s="145"/>
    </row>
    <row r="2610" spans="37:43">
      <c r="AK2610" s="145"/>
      <c r="AL2610" s="145"/>
      <c r="AM2610" s="145"/>
      <c r="AN2610" s="145"/>
      <c r="AO2610" s="145"/>
      <c r="AP2610" s="145"/>
      <c r="AQ2610" s="145"/>
    </row>
    <row r="2611" spans="37:43">
      <c r="AK2611" s="145"/>
      <c r="AL2611" s="145"/>
      <c r="AM2611" s="145"/>
      <c r="AN2611" s="145"/>
      <c r="AO2611" s="145"/>
      <c r="AP2611" s="145"/>
      <c r="AQ2611" s="145"/>
    </row>
    <row r="2612" spans="37:43">
      <c r="AK2612" s="145"/>
      <c r="AL2612" s="145"/>
      <c r="AM2612" s="145"/>
      <c r="AN2612" s="145"/>
      <c r="AO2612" s="145"/>
      <c r="AP2612" s="145"/>
      <c r="AQ2612" s="145"/>
    </row>
    <row r="2613" spans="37:43">
      <c r="AK2613" s="145"/>
      <c r="AL2613" s="145"/>
      <c r="AM2613" s="145"/>
      <c r="AN2613" s="145"/>
      <c r="AO2613" s="145"/>
      <c r="AP2613" s="145"/>
      <c r="AQ2613" s="145"/>
    </row>
    <row r="2614" spans="37:43">
      <c r="AK2614" s="145"/>
      <c r="AL2614" s="145"/>
      <c r="AM2614" s="145"/>
      <c r="AN2614" s="145"/>
      <c r="AO2614" s="145"/>
      <c r="AP2614" s="145"/>
      <c r="AQ2614" s="145"/>
    </row>
    <row r="2615" spans="37:43">
      <c r="AK2615" s="145"/>
      <c r="AL2615" s="145"/>
      <c r="AM2615" s="145"/>
      <c r="AN2615" s="145"/>
      <c r="AO2615" s="145"/>
      <c r="AP2615" s="145"/>
      <c r="AQ2615" s="145"/>
    </row>
    <row r="2616" spans="37:43">
      <c r="AK2616" s="145"/>
      <c r="AL2616" s="145"/>
      <c r="AM2616" s="145"/>
      <c r="AN2616" s="145"/>
      <c r="AO2616" s="145"/>
      <c r="AP2616" s="145"/>
      <c r="AQ2616" s="145"/>
    </row>
    <row r="2617" spans="37:43">
      <c r="AK2617" s="145"/>
      <c r="AL2617" s="145"/>
      <c r="AM2617" s="145"/>
      <c r="AN2617" s="145"/>
      <c r="AO2617" s="145"/>
      <c r="AP2617" s="145"/>
      <c r="AQ2617" s="145"/>
    </row>
    <row r="2618" spans="37:43">
      <c r="AK2618" s="145"/>
      <c r="AL2618" s="145"/>
      <c r="AM2618" s="145"/>
      <c r="AN2618" s="145"/>
      <c r="AO2618" s="145"/>
      <c r="AP2618" s="145"/>
      <c r="AQ2618" s="145"/>
    </row>
    <row r="2619" spans="37:43">
      <c r="AK2619" s="145"/>
      <c r="AL2619" s="145"/>
      <c r="AM2619" s="145"/>
      <c r="AN2619" s="145"/>
      <c r="AO2619" s="145"/>
      <c r="AP2619" s="145"/>
      <c r="AQ2619" s="145"/>
    </row>
    <row r="2620" spans="37:43">
      <c r="AK2620" s="145"/>
      <c r="AL2620" s="145"/>
      <c r="AM2620" s="145"/>
      <c r="AN2620" s="145"/>
      <c r="AO2620" s="145"/>
      <c r="AP2620" s="145"/>
      <c r="AQ2620" s="145"/>
    </row>
    <row r="2621" spans="37:43">
      <c r="AK2621" s="145"/>
      <c r="AL2621" s="145"/>
      <c r="AM2621" s="145"/>
      <c r="AN2621" s="145"/>
      <c r="AO2621" s="145"/>
      <c r="AP2621" s="145"/>
      <c r="AQ2621" s="145"/>
    </row>
    <row r="2622" spans="37:43">
      <c r="AK2622" s="145"/>
      <c r="AL2622" s="145"/>
      <c r="AM2622" s="145"/>
      <c r="AN2622" s="145"/>
      <c r="AO2622" s="145"/>
      <c r="AP2622" s="145"/>
      <c r="AQ2622" s="145"/>
    </row>
    <row r="2623" spans="37:43">
      <c r="AK2623" s="145"/>
      <c r="AL2623" s="145"/>
      <c r="AM2623" s="145"/>
      <c r="AN2623" s="145"/>
      <c r="AO2623" s="145"/>
      <c r="AP2623" s="145"/>
      <c r="AQ2623" s="145"/>
    </row>
    <row r="2624" spans="37:43">
      <c r="AK2624" s="145"/>
      <c r="AL2624" s="145"/>
      <c r="AM2624" s="145"/>
      <c r="AN2624" s="145"/>
      <c r="AO2624" s="145"/>
      <c r="AP2624" s="145"/>
      <c r="AQ2624" s="145"/>
    </row>
    <row r="2625" spans="37:43">
      <c r="AK2625" s="145"/>
      <c r="AL2625" s="145"/>
      <c r="AM2625" s="145"/>
      <c r="AN2625" s="145"/>
      <c r="AO2625" s="145"/>
      <c r="AP2625" s="145"/>
      <c r="AQ2625" s="145"/>
    </row>
    <row r="2626" spans="37:43">
      <c r="AK2626" s="145"/>
      <c r="AL2626" s="145"/>
      <c r="AM2626" s="145"/>
      <c r="AN2626" s="145"/>
      <c r="AO2626" s="145"/>
      <c r="AP2626" s="145"/>
      <c r="AQ2626" s="145"/>
    </row>
    <row r="2627" spans="37:43">
      <c r="AK2627" s="145"/>
      <c r="AL2627" s="145"/>
      <c r="AM2627" s="145"/>
      <c r="AN2627" s="145"/>
      <c r="AO2627" s="145"/>
      <c r="AP2627" s="145"/>
      <c r="AQ2627" s="145"/>
    </row>
    <row r="2628" spans="37:43">
      <c r="AK2628" s="145"/>
      <c r="AL2628" s="145"/>
      <c r="AM2628" s="145"/>
      <c r="AN2628" s="145"/>
      <c r="AO2628" s="145"/>
      <c r="AP2628" s="145"/>
      <c r="AQ2628" s="145"/>
    </row>
    <row r="2629" spans="37:43">
      <c r="AK2629" s="145"/>
      <c r="AL2629" s="145"/>
      <c r="AM2629" s="145"/>
      <c r="AN2629" s="145"/>
      <c r="AO2629" s="145"/>
      <c r="AP2629" s="145"/>
      <c r="AQ2629" s="145"/>
    </row>
    <row r="2630" spans="37:43">
      <c r="AK2630" s="145"/>
      <c r="AL2630" s="145"/>
      <c r="AM2630" s="145"/>
      <c r="AN2630" s="145"/>
      <c r="AO2630" s="145"/>
      <c r="AP2630" s="145"/>
      <c r="AQ2630" s="145"/>
    </row>
    <row r="2631" spans="37:43">
      <c r="AK2631" s="145"/>
      <c r="AL2631" s="145"/>
      <c r="AM2631" s="145"/>
      <c r="AN2631" s="145"/>
      <c r="AO2631" s="145"/>
      <c r="AP2631" s="145"/>
      <c r="AQ2631" s="145"/>
    </row>
    <row r="2632" spans="37:43">
      <c r="AK2632" s="145"/>
      <c r="AL2632" s="145"/>
      <c r="AM2632" s="145"/>
      <c r="AN2632" s="145"/>
      <c r="AO2632" s="145"/>
      <c r="AP2632" s="145"/>
      <c r="AQ2632" s="145"/>
    </row>
    <row r="2633" spans="37:43">
      <c r="AK2633" s="145"/>
      <c r="AL2633" s="145"/>
      <c r="AM2633" s="145"/>
      <c r="AN2633" s="145"/>
      <c r="AO2633" s="145"/>
      <c r="AP2633" s="145"/>
      <c r="AQ2633" s="145"/>
    </row>
    <row r="2634" spans="37:43">
      <c r="AK2634" s="145"/>
      <c r="AL2634" s="145"/>
      <c r="AM2634" s="145"/>
      <c r="AN2634" s="145"/>
      <c r="AO2634" s="145"/>
      <c r="AP2634" s="145"/>
      <c r="AQ2634" s="145"/>
    </row>
    <row r="2635" spans="37:43">
      <c r="AK2635" s="145"/>
      <c r="AL2635" s="145"/>
      <c r="AM2635" s="145"/>
      <c r="AN2635" s="145"/>
      <c r="AO2635" s="145"/>
      <c r="AP2635" s="145"/>
      <c r="AQ2635" s="145"/>
    </row>
    <row r="2636" spans="37:43">
      <c r="AK2636" s="145"/>
      <c r="AL2636" s="145"/>
      <c r="AM2636" s="145"/>
      <c r="AN2636" s="145"/>
      <c r="AO2636" s="145"/>
      <c r="AP2636" s="145"/>
      <c r="AQ2636" s="145"/>
    </row>
    <row r="2637" spans="37:43">
      <c r="AK2637" s="145"/>
      <c r="AL2637" s="145"/>
      <c r="AM2637" s="145"/>
      <c r="AN2637" s="145"/>
      <c r="AO2637" s="145"/>
      <c r="AP2637" s="145"/>
      <c r="AQ2637" s="145"/>
    </row>
    <row r="2638" spans="37:43">
      <c r="AK2638" s="145"/>
      <c r="AL2638" s="145"/>
      <c r="AM2638" s="145"/>
      <c r="AN2638" s="145"/>
      <c r="AO2638" s="145"/>
      <c r="AP2638" s="145"/>
      <c r="AQ2638" s="145"/>
    </row>
    <row r="2639" spans="37:43">
      <c r="AK2639" s="145"/>
      <c r="AL2639" s="145"/>
      <c r="AM2639" s="145"/>
      <c r="AN2639" s="145"/>
      <c r="AO2639" s="145"/>
      <c r="AP2639" s="145"/>
      <c r="AQ2639" s="145"/>
    </row>
    <row r="2640" spans="37:43">
      <c r="AK2640" s="145"/>
      <c r="AL2640" s="145"/>
      <c r="AM2640" s="145"/>
      <c r="AN2640" s="145"/>
      <c r="AO2640" s="145"/>
      <c r="AP2640" s="145"/>
      <c r="AQ2640" s="145"/>
    </row>
    <row r="2641" spans="37:43">
      <c r="AK2641" s="145"/>
      <c r="AL2641" s="145"/>
      <c r="AM2641" s="145"/>
      <c r="AN2641" s="145"/>
      <c r="AO2641" s="145"/>
      <c r="AP2641" s="145"/>
      <c r="AQ2641" s="145"/>
    </row>
    <row r="2642" spans="37:43">
      <c r="AK2642" s="145"/>
      <c r="AL2642" s="145"/>
      <c r="AM2642" s="145"/>
      <c r="AN2642" s="145"/>
      <c r="AO2642" s="145"/>
      <c r="AP2642" s="145"/>
      <c r="AQ2642" s="145"/>
    </row>
    <row r="2643" spans="37:43">
      <c r="AK2643" s="145"/>
      <c r="AL2643" s="145"/>
      <c r="AM2643" s="145"/>
      <c r="AN2643" s="145"/>
      <c r="AO2643" s="145"/>
      <c r="AP2643" s="145"/>
      <c r="AQ2643" s="145"/>
    </row>
    <row r="2644" spans="37:43">
      <c r="AK2644" s="145"/>
      <c r="AL2644" s="145"/>
      <c r="AM2644" s="145"/>
      <c r="AN2644" s="145"/>
      <c r="AO2644" s="145"/>
      <c r="AP2644" s="145"/>
      <c r="AQ2644" s="145"/>
    </row>
    <row r="2645" spans="37:43">
      <c r="AK2645" s="145"/>
      <c r="AL2645" s="145"/>
      <c r="AM2645" s="145"/>
      <c r="AN2645" s="145"/>
      <c r="AO2645" s="145"/>
      <c r="AP2645" s="145"/>
      <c r="AQ2645" s="145"/>
    </row>
    <row r="2646" spans="37:43">
      <c r="AK2646" s="145"/>
      <c r="AL2646" s="145"/>
      <c r="AM2646" s="145"/>
      <c r="AN2646" s="145"/>
      <c r="AO2646" s="145"/>
      <c r="AP2646" s="145"/>
      <c r="AQ2646" s="145"/>
    </row>
    <row r="2647" spans="37:43">
      <c r="AK2647" s="145"/>
      <c r="AL2647" s="145"/>
      <c r="AM2647" s="145"/>
      <c r="AN2647" s="145"/>
      <c r="AO2647" s="145"/>
      <c r="AP2647" s="145"/>
      <c r="AQ2647" s="145"/>
    </row>
    <row r="2648" spans="37:43">
      <c r="AK2648" s="145"/>
      <c r="AL2648" s="145"/>
      <c r="AM2648" s="145"/>
      <c r="AN2648" s="145"/>
      <c r="AO2648" s="145"/>
      <c r="AP2648" s="145"/>
      <c r="AQ2648" s="145"/>
    </row>
    <row r="2649" spans="37:43">
      <c r="AK2649" s="145"/>
      <c r="AL2649" s="145"/>
      <c r="AM2649" s="145"/>
      <c r="AN2649" s="145"/>
      <c r="AO2649" s="145"/>
      <c r="AP2649" s="145"/>
      <c r="AQ2649" s="145"/>
    </row>
    <row r="2650" spans="37:43">
      <c r="AK2650" s="145"/>
      <c r="AL2650" s="145"/>
      <c r="AM2650" s="145"/>
      <c r="AN2650" s="145"/>
      <c r="AO2650" s="145"/>
      <c r="AP2650" s="145"/>
      <c r="AQ2650" s="145"/>
    </row>
    <row r="2651" spans="37:43">
      <c r="AK2651" s="145"/>
      <c r="AL2651" s="145"/>
      <c r="AM2651" s="145"/>
      <c r="AN2651" s="145"/>
      <c r="AO2651" s="145"/>
      <c r="AP2651" s="145"/>
      <c r="AQ2651" s="145"/>
    </row>
    <row r="2652" spans="37:43">
      <c r="AK2652" s="145"/>
      <c r="AL2652" s="145"/>
      <c r="AM2652" s="145"/>
      <c r="AN2652" s="145"/>
      <c r="AO2652" s="145"/>
      <c r="AP2652" s="145"/>
      <c r="AQ2652" s="145"/>
    </row>
    <row r="2653" spans="37:43">
      <c r="AK2653" s="145"/>
      <c r="AL2653" s="145"/>
      <c r="AM2653" s="145"/>
      <c r="AN2653" s="145"/>
      <c r="AO2653" s="145"/>
      <c r="AP2653" s="145"/>
      <c r="AQ2653" s="145"/>
    </row>
    <row r="2654" spans="37:43">
      <c r="AK2654" s="145"/>
      <c r="AL2654" s="145"/>
      <c r="AM2654" s="145"/>
      <c r="AN2654" s="145"/>
      <c r="AO2654" s="145"/>
      <c r="AP2654" s="145"/>
      <c r="AQ2654" s="145"/>
    </row>
    <row r="2655" spans="37:43">
      <c r="AK2655" s="145"/>
      <c r="AL2655" s="145"/>
      <c r="AM2655" s="145"/>
      <c r="AN2655" s="145"/>
      <c r="AO2655" s="145"/>
      <c r="AP2655" s="145"/>
      <c r="AQ2655" s="145"/>
    </row>
    <row r="2656" spans="37:43">
      <c r="AK2656" s="145"/>
      <c r="AL2656" s="145"/>
      <c r="AM2656" s="145"/>
      <c r="AN2656" s="145"/>
      <c r="AO2656" s="145"/>
      <c r="AP2656" s="145"/>
      <c r="AQ2656" s="145"/>
    </row>
    <row r="2657" spans="37:43">
      <c r="AK2657" s="145"/>
      <c r="AL2657" s="145"/>
      <c r="AM2657" s="145"/>
      <c r="AN2657" s="145"/>
      <c r="AO2657" s="145"/>
      <c r="AP2657" s="145"/>
      <c r="AQ2657" s="145"/>
    </row>
    <row r="2658" spans="37:43">
      <c r="AK2658" s="145"/>
      <c r="AL2658" s="145"/>
      <c r="AM2658" s="145"/>
      <c r="AN2658" s="145"/>
      <c r="AO2658" s="145"/>
      <c r="AP2658" s="145"/>
      <c r="AQ2658" s="145"/>
    </row>
    <row r="2659" spans="37:43">
      <c r="AK2659" s="145"/>
      <c r="AL2659" s="145"/>
      <c r="AM2659" s="145"/>
      <c r="AN2659" s="145"/>
      <c r="AO2659" s="145"/>
      <c r="AP2659" s="145"/>
      <c r="AQ2659" s="145"/>
    </row>
    <row r="2660" spans="37:43">
      <c r="AK2660" s="145"/>
      <c r="AL2660" s="145"/>
      <c r="AM2660" s="145"/>
      <c r="AN2660" s="145"/>
      <c r="AO2660" s="145"/>
      <c r="AP2660" s="145"/>
      <c r="AQ2660" s="145"/>
    </row>
    <row r="2661" spans="37:43">
      <c r="AK2661" s="145"/>
      <c r="AL2661" s="145"/>
      <c r="AM2661" s="145"/>
      <c r="AN2661" s="145"/>
      <c r="AO2661" s="145"/>
      <c r="AP2661" s="145"/>
      <c r="AQ2661" s="145"/>
    </row>
    <row r="2662" spans="37:43">
      <c r="AK2662" s="145"/>
      <c r="AL2662" s="145"/>
      <c r="AM2662" s="145"/>
      <c r="AN2662" s="145"/>
      <c r="AO2662" s="145"/>
      <c r="AP2662" s="145"/>
      <c r="AQ2662" s="145"/>
    </row>
    <row r="2663" spans="37:43">
      <c r="AK2663" s="145"/>
      <c r="AL2663" s="145"/>
      <c r="AM2663" s="145"/>
      <c r="AN2663" s="145"/>
      <c r="AO2663" s="145"/>
      <c r="AP2663" s="145"/>
      <c r="AQ2663" s="145"/>
    </row>
    <row r="2664" spans="37:43">
      <c r="AK2664" s="145"/>
      <c r="AL2664" s="145"/>
      <c r="AM2664" s="145"/>
      <c r="AN2664" s="145"/>
      <c r="AO2664" s="145"/>
      <c r="AP2664" s="145"/>
      <c r="AQ2664" s="145"/>
    </row>
    <row r="2665" spans="37:43">
      <c r="AK2665" s="145"/>
      <c r="AL2665" s="145"/>
      <c r="AM2665" s="145"/>
      <c r="AN2665" s="145"/>
      <c r="AO2665" s="145"/>
      <c r="AP2665" s="145"/>
      <c r="AQ2665" s="145"/>
    </row>
    <row r="2666" spans="37:43">
      <c r="AK2666" s="145"/>
      <c r="AL2666" s="145"/>
      <c r="AM2666" s="145"/>
      <c r="AN2666" s="145"/>
      <c r="AO2666" s="145"/>
      <c r="AP2666" s="145"/>
      <c r="AQ2666" s="145"/>
    </row>
    <row r="2667" spans="37:43">
      <c r="AK2667" s="145"/>
      <c r="AL2667" s="145"/>
      <c r="AM2667" s="145"/>
      <c r="AN2667" s="145"/>
      <c r="AO2667" s="145"/>
      <c r="AP2667" s="145"/>
      <c r="AQ2667" s="145"/>
    </row>
    <row r="2668" spans="37:43">
      <c r="AK2668" s="145"/>
      <c r="AL2668" s="145"/>
      <c r="AM2668" s="145"/>
      <c r="AN2668" s="145"/>
      <c r="AO2668" s="145"/>
      <c r="AP2668" s="145"/>
      <c r="AQ2668" s="145"/>
    </row>
    <row r="2669" spans="37:43">
      <c r="AK2669" s="145"/>
      <c r="AL2669" s="145"/>
      <c r="AM2669" s="145"/>
      <c r="AN2669" s="145"/>
      <c r="AO2669" s="145"/>
      <c r="AP2669" s="145"/>
      <c r="AQ2669" s="145"/>
    </row>
    <row r="2670" spans="37:43">
      <c r="AK2670" s="145"/>
      <c r="AL2670" s="145"/>
      <c r="AM2670" s="145"/>
      <c r="AN2670" s="145"/>
      <c r="AO2670" s="145"/>
      <c r="AP2670" s="145"/>
      <c r="AQ2670" s="145"/>
    </row>
    <row r="2671" spans="37:43">
      <c r="AK2671" s="145"/>
      <c r="AL2671" s="145"/>
      <c r="AM2671" s="145"/>
      <c r="AN2671" s="145"/>
      <c r="AO2671" s="145"/>
      <c r="AP2671" s="145"/>
      <c r="AQ2671" s="145"/>
    </row>
    <row r="2672" spans="37:43">
      <c r="AK2672" s="145"/>
      <c r="AL2672" s="145"/>
      <c r="AM2672" s="145"/>
      <c r="AN2672" s="145"/>
      <c r="AO2672" s="145"/>
      <c r="AP2672" s="145"/>
      <c r="AQ2672" s="145"/>
    </row>
    <row r="2673" spans="37:43">
      <c r="AK2673" s="145"/>
      <c r="AL2673" s="145"/>
      <c r="AM2673" s="145"/>
      <c r="AN2673" s="145"/>
      <c r="AO2673" s="145"/>
      <c r="AP2673" s="145"/>
      <c r="AQ2673" s="145"/>
    </row>
    <row r="2674" spans="37:43">
      <c r="AK2674" s="145"/>
      <c r="AL2674" s="145"/>
      <c r="AM2674" s="145"/>
      <c r="AN2674" s="145"/>
      <c r="AO2674" s="145"/>
      <c r="AP2674" s="145"/>
      <c r="AQ2674" s="145"/>
    </row>
    <row r="2675" spans="37:43">
      <c r="AK2675" s="145"/>
      <c r="AL2675" s="145"/>
      <c r="AM2675" s="145"/>
      <c r="AN2675" s="145"/>
      <c r="AO2675" s="145"/>
      <c r="AP2675" s="145"/>
      <c r="AQ2675" s="145"/>
    </row>
    <row r="2676" spans="37:43">
      <c r="AK2676" s="145"/>
      <c r="AL2676" s="145"/>
      <c r="AM2676" s="145"/>
      <c r="AN2676" s="145"/>
      <c r="AO2676" s="145"/>
      <c r="AP2676" s="145"/>
      <c r="AQ2676" s="145"/>
    </row>
    <row r="2677" spans="37:43">
      <c r="AK2677" s="145"/>
      <c r="AL2677" s="145"/>
      <c r="AM2677" s="145"/>
      <c r="AN2677" s="145"/>
      <c r="AO2677" s="145"/>
      <c r="AP2677" s="145"/>
      <c r="AQ2677" s="145"/>
    </row>
    <row r="2678" spans="37:43">
      <c r="AK2678" s="145"/>
      <c r="AL2678" s="145"/>
      <c r="AM2678" s="145"/>
      <c r="AN2678" s="145"/>
      <c r="AO2678" s="145"/>
      <c r="AP2678" s="145"/>
      <c r="AQ2678" s="145"/>
    </row>
    <row r="2679" spans="37:43">
      <c r="AK2679" s="145"/>
      <c r="AL2679" s="145"/>
      <c r="AM2679" s="145"/>
      <c r="AN2679" s="145"/>
      <c r="AO2679" s="145"/>
      <c r="AP2679" s="145"/>
      <c r="AQ2679" s="145"/>
    </row>
    <row r="2680" spans="37:43">
      <c r="AK2680" s="145"/>
      <c r="AL2680" s="145"/>
      <c r="AM2680" s="145"/>
      <c r="AN2680" s="145"/>
      <c r="AO2680" s="145"/>
      <c r="AP2680" s="145"/>
      <c r="AQ2680" s="145"/>
    </row>
    <row r="2681" spans="37:43">
      <c r="AK2681" s="145"/>
      <c r="AL2681" s="145"/>
      <c r="AM2681" s="145"/>
      <c r="AN2681" s="145"/>
      <c r="AO2681" s="145"/>
      <c r="AP2681" s="145"/>
      <c r="AQ2681" s="145"/>
    </row>
    <row r="2682" spans="37:43">
      <c r="AK2682" s="145"/>
      <c r="AL2682" s="145"/>
      <c r="AM2682" s="145"/>
      <c r="AN2682" s="145"/>
      <c r="AO2682" s="145"/>
      <c r="AP2682" s="145"/>
      <c r="AQ2682" s="145"/>
    </row>
    <row r="2683" spans="37:43">
      <c r="AK2683" s="145"/>
      <c r="AL2683" s="145"/>
      <c r="AM2683" s="145"/>
      <c r="AN2683" s="145"/>
      <c r="AO2683" s="145"/>
      <c r="AP2683" s="145"/>
      <c r="AQ2683" s="145"/>
    </row>
    <row r="2684" spans="37:43">
      <c r="AK2684" s="145"/>
      <c r="AL2684" s="145"/>
      <c r="AM2684" s="145"/>
      <c r="AN2684" s="145"/>
      <c r="AO2684" s="145"/>
      <c r="AP2684" s="145"/>
      <c r="AQ2684" s="145"/>
    </row>
    <row r="2685" spans="37:43">
      <c r="AK2685" s="145"/>
      <c r="AL2685" s="145"/>
      <c r="AM2685" s="145"/>
      <c r="AN2685" s="145"/>
      <c r="AO2685" s="145"/>
      <c r="AP2685" s="145"/>
      <c r="AQ2685" s="145"/>
    </row>
    <row r="2686" spans="37:43">
      <c r="AK2686" s="145"/>
      <c r="AL2686" s="145"/>
      <c r="AM2686" s="145"/>
      <c r="AN2686" s="145"/>
      <c r="AO2686" s="145"/>
      <c r="AP2686" s="145"/>
      <c r="AQ2686" s="145"/>
    </row>
    <row r="2687" spans="37:43">
      <c r="AK2687" s="145"/>
      <c r="AL2687" s="145"/>
      <c r="AM2687" s="145"/>
      <c r="AN2687" s="145"/>
      <c r="AO2687" s="145"/>
      <c r="AP2687" s="145"/>
      <c r="AQ2687" s="145"/>
    </row>
    <row r="2688" spans="37:43">
      <c r="AK2688" s="145"/>
      <c r="AL2688" s="145"/>
      <c r="AM2688" s="145"/>
      <c r="AN2688" s="145"/>
      <c r="AO2688" s="145"/>
      <c r="AP2688" s="145"/>
      <c r="AQ2688" s="145"/>
    </row>
    <row r="2689" spans="37:43">
      <c r="AK2689" s="145"/>
      <c r="AL2689" s="145"/>
      <c r="AM2689" s="145"/>
      <c r="AN2689" s="145"/>
      <c r="AO2689" s="145"/>
      <c r="AP2689" s="145"/>
      <c r="AQ2689" s="145"/>
    </row>
    <row r="2690" spans="37:43">
      <c r="AK2690" s="145"/>
      <c r="AL2690" s="145"/>
      <c r="AM2690" s="145"/>
      <c r="AN2690" s="145"/>
      <c r="AO2690" s="145"/>
      <c r="AP2690" s="145"/>
      <c r="AQ2690" s="145"/>
    </row>
    <row r="2691" spans="37:43">
      <c r="AK2691" s="145"/>
      <c r="AL2691" s="145"/>
      <c r="AM2691" s="145"/>
      <c r="AN2691" s="145"/>
      <c r="AO2691" s="145"/>
      <c r="AP2691" s="145"/>
      <c r="AQ2691" s="145"/>
    </row>
    <row r="2692" spans="37:43">
      <c r="AK2692" s="145"/>
      <c r="AL2692" s="145"/>
      <c r="AM2692" s="145"/>
      <c r="AN2692" s="145"/>
      <c r="AO2692" s="145"/>
      <c r="AP2692" s="145"/>
      <c r="AQ2692" s="145"/>
    </row>
    <row r="2693" spans="37:43">
      <c r="AK2693" s="145"/>
      <c r="AL2693" s="145"/>
      <c r="AM2693" s="145"/>
      <c r="AN2693" s="145"/>
      <c r="AO2693" s="145"/>
      <c r="AP2693" s="145"/>
      <c r="AQ2693" s="145"/>
    </row>
    <row r="2694" spans="37:43">
      <c r="AK2694" s="145"/>
      <c r="AL2694" s="145"/>
      <c r="AM2694" s="145"/>
      <c r="AN2694" s="145"/>
      <c r="AO2694" s="145"/>
      <c r="AP2694" s="145"/>
      <c r="AQ2694" s="145"/>
    </row>
    <row r="2695" spans="37:43">
      <c r="AK2695" s="145"/>
      <c r="AL2695" s="145"/>
      <c r="AM2695" s="145"/>
      <c r="AN2695" s="145"/>
      <c r="AO2695" s="145"/>
      <c r="AP2695" s="145"/>
      <c r="AQ2695" s="145"/>
    </row>
    <row r="2696" spans="37:43">
      <c r="AK2696" s="145"/>
      <c r="AL2696" s="145"/>
      <c r="AM2696" s="145"/>
      <c r="AN2696" s="145"/>
      <c r="AO2696" s="145"/>
      <c r="AP2696" s="145"/>
      <c r="AQ2696" s="145"/>
    </row>
    <row r="2697" spans="37:43">
      <c r="AK2697" s="145"/>
      <c r="AL2697" s="145"/>
      <c r="AM2697" s="145"/>
      <c r="AN2697" s="145"/>
      <c r="AO2697" s="145"/>
      <c r="AP2697" s="145"/>
      <c r="AQ2697" s="145"/>
    </row>
    <row r="2698" spans="37:43">
      <c r="AK2698" s="145"/>
      <c r="AL2698" s="145"/>
      <c r="AM2698" s="145"/>
      <c r="AN2698" s="145"/>
      <c r="AO2698" s="145"/>
      <c r="AP2698" s="145"/>
      <c r="AQ2698" s="145"/>
    </row>
    <row r="2699" spans="37:43">
      <c r="AK2699" s="145"/>
      <c r="AL2699" s="145"/>
      <c r="AM2699" s="145"/>
      <c r="AN2699" s="145"/>
      <c r="AO2699" s="145"/>
      <c r="AP2699" s="145"/>
      <c r="AQ2699" s="145"/>
    </row>
    <row r="2700" spans="37:43">
      <c r="AK2700" s="145"/>
      <c r="AL2700" s="145"/>
      <c r="AM2700" s="145"/>
      <c r="AN2700" s="145"/>
      <c r="AO2700" s="145"/>
      <c r="AP2700" s="145"/>
      <c r="AQ2700" s="145"/>
    </row>
    <row r="2701" spans="37:43">
      <c r="AK2701" s="145"/>
      <c r="AL2701" s="145"/>
      <c r="AM2701" s="145"/>
      <c r="AN2701" s="145"/>
      <c r="AO2701" s="145"/>
      <c r="AP2701" s="145"/>
      <c r="AQ2701" s="145"/>
    </row>
    <row r="2702" spans="37:43">
      <c r="AK2702" s="145"/>
      <c r="AL2702" s="145"/>
      <c r="AM2702" s="145"/>
      <c r="AN2702" s="145"/>
      <c r="AO2702" s="145"/>
      <c r="AP2702" s="145"/>
      <c r="AQ2702" s="145"/>
    </row>
    <row r="2703" spans="37:43">
      <c r="AK2703" s="145"/>
      <c r="AL2703" s="145"/>
      <c r="AM2703" s="145"/>
      <c r="AN2703" s="145"/>
      <c r="AO2703" s="145"/>
      <c r="AP2703" s="145"/>
      <c r="AQ2703" s="145"/>
    </row>
    <row r="2704" spans="37:43">
      <c r="AK2704" s="145"/>
      <c r="AL2704" s="145"/>
      <c r="AM2704" s="145"/>
      <c r="AN2704" s="145"/>
      <c r="AO2704" s="145"/>
      <c r="AP2704" s="145"/>
      <c r="AQ2704" s="145"/>
    </row>
    <row r="2705" spans="37:43">
      <c r="AK2705" s="145"/>
      <c r="AL2705" s="145"/>
      <c r="AM2705" s="145"/>
      <c r="AN2705" s="145"/>
      <c r="AO2705" s="145"/>
      <c r="AP2705" s="145"/>
      <c r="AQ2705" s="145"/>
    </row>
    <row r="2706" spans="37:43">
      <c r="AK2706" s="145"/>
      <c r="AL2706" s="145"/>
      <c r="AM2706" s="145"/>
      <c r="AN2706" s="145"/>
      <c r="AO2706" s="145"/>
      <c r="AP2706" s="145"/>
      <c r="AQ2706" s="145"/>
    </row>
    <row r="2707" spans="37:43">
      <c r="AK2707" s="145"/>
      <c r="AL2707" s="145"/>
      <c r="AM2707" s="145"/>
      <c r="AN2707" s="145"/>
      <c r="AO2707" s="145"/>
      <c r="AP2707" s="145"/>
      <c r="AQ2707" s="145"/>
    </row>
    <row r="2708" spans="37:43">
      <c r="AK2708" s="145"/>
      <c r="AL2708" s="145"/>
      <c r="AM2708" s="145"/>
      <c r="AN2708" s="145"/>
      <c r="AO2708" s="145"/>
      <c r="AP2708" s="145"/>
      <c r="AQ2708" s="145"/>
    </row>
    <row r="2709" spans="37:43">
      <c r="AK2709" s="145"/>
      <c r="AL2709" s="145"/>
      <c r="AM2709" s="145"/>
      <c r="AN2709" s="145"/>
      <c r="AO2709" s="145"/>
      <c r="AP2709" s="145"/>
      <c r="AQ2709" s="145"/>
    </row>
    <row r="2710" spans="37:43">
      <c r="AK2710" s="145"/>
      <c r="AL2710" s="145"/>
      <c r="AM2710" s="145"/>
      <c r="AN2710" s="145"/>
      <c r="AO2710" s="145"/>
      <c r="AP2710" s="145"/>
      <c r="AQ2710" s="145"/>
    </row>
    <row r="2711" spans="37:43">
      <c r="AK2711" s="145"/>
      <c r="AL2711" s="145"/>
      <c r="AM2711" s="145"/>
      <c r="AN2711" s="145"/>
      <c r="AO2711" s="145"/>
      <c r="AP2711" s="145"/>
      <c r="AQ2711" s="145"/>
    </row>
    <row r="2712" spans="37:43">
      <c r="AK2712" s="145"/>
      <c r="AL2712" s="145"/>
      <c r="AM2712" s="145"/>
      <c r="AN2712" s="145"/>
      <c r="AO2712" s="145"/>
      <c r="AP2712" s="145"/>
      <c r="AQ2712" s="145"/>
    </row>
    <row r="2713" spans="37:43">
      <c r="AK2713" s="145"/>
      <c r="AL2713" s="145"/>
      <c r="AM2713" s="145"/>
      <c r="AN2713" s="145"/>
      <c r="AO2713" s="145"/>
      <c r="AP2713" s="145"/>
      <c r="AQ2713" s="145"/>
    </row>
    <row r="2714" spans="37:43">
      <c r="AK2714" s="145"/>
      <c r="AL2714" s="145"/>
      <c r="AM2714" s="145"/>
      <c r="AN2714" s="145"/>
      <c r="AO2714" s="145"/>
      <c r="AP2714" s="145"/>
      <c r="AQ2714" s="145"/>
    </row>
    <row r="2715" spans="37:43">
      <c r="AK2715" s="145"/>
      <c r="AL2715" s="145"/>
      <c r="AM2715" s="145"/>
      <c r="AN2715" s="145"/>
      <c r="AO2715" s="145"/>
      <c r="AP2715" s="145"/>
      <c r="AQ2715" s="145"/>
    </row>
    <row r="2716" spans="37:43">
      <c r="AK2716" s="145"/>
      <c r="AL2716" s="145"/>
      <c r="AM2716" s="145"/>
      <c r="AN2716" s="145"/>
      <c r="AO2716" s="145"/>
      <c r="AP2716" s="145"/>
      <c r="AQ2716" s="145"/>
    </row>
    <row r="2717" spans="37:43">
      <c r="AK2717" s="145"/>
      <c r="AL2717" s="145"/>
      <c r="AM2717" s="145"/>
      <c r="AN2717" s="145"/>
      <c r="AO2717" s="145"/>
      <c r="AP2717" s="145"/>
      <c r="AQ2717" s="145"/>
    </row>
    <row r="2718" spans="37:43">
      <c r="AK2718" s="145"/>
      <c r="AL2718" s="145"/>
      <c r="AM2718" s="145"/>
      <c r="AN2718" s="145"/>
      <c r="AO2718" s="145"/>
      <c r="AP2718" s="145"/>
      <c r="AQ2718" s="145"/>
    </row>
    <row r="2719" spans="37:43">
      <c r="AK2719" s="145"/>
      <c r="AL2719" s="145"/>
      <c r="AM2719" s="145"/>
      <c r="AN2719" s="145"/>
      <c r="AO2719" s="145"/>
      <c r="AP2719" s="145"/>
      <c r="AQ2719" s="145"/>
    </row>
    <row r="2720" spans="37:43">
      <c r="AK2720" s="145"/>
      <c r="AL2720" s="145"/>
      <c r="AM2720" s="145"/>
      <c r="AN2720" s="145"/>
      <c r="AO2720" s="145"/>
      <c r="AP2720" s="145"/>
      <c r="AQ2720" s="145"/>
    </row>
    <row r="2721" spans="37:43">
      <c r="AK2721" s="145"/>
      <c r="AL2721" s="145"/>
      <c r="AM2721" s="145"/>
      <c r="AN2721" s="145"/>
      <c r="AO2721" s="145"/>
      <c r="AP2721" s="145"/>
      <c r="AQ2721" s="145"/>
    </row>
    <row r="2722" spans="37:43">
      <c r="AK2722" s="145"/>
      <c r="AL2722" s="145"/>
      <c r="AM2722" s="145"/>
      <c r="AN2722" s="145"/>
      <c r="AO2722" s="145"/>
      <c r="AP2722" s="145"/>
      <c r="AQ2722" s="145"/>
    </row>
    <row r="2723" spans="37:43">
      <c r="AK2723" s="145"/>
      <c r="AL2723" s="145"/>
      <c r="AM2723" s="145"/>
      <c r="AN2723" s="145"/>
      <c r="AO2723" s="145"/>
      <c r="AP2723" s="145"/>
      <c r="AQ2723" s="145"/>
    </row>
    <row r="2724" spans="37:43">
      <c r="AK2724" s="145"/>
      <c r="AL2724" s="145"/>
      <c r="AM2724" s="145"/>
      <c r="AN2724" s="145"/>
      <c r="AO2724" s="145"/>
      <c r="AP2724" s="145"/>
      <c r="AQ2724" s="145"/>
    </row>
    <row r="2725" spans="37:43">
      <c r="AK2725" s="145"/>
      <c r="AL2725" s="145"/>
      <c r="AM2725" s="145"/>
      <c r="AN2725" s="145"/>
      <c r="AO2725" s="145"/>
      <c r="AP2725" s="145"/>
      <c r="AQ2725" s="145"/>
    </row>
    <row r="2726" spans="37:43">
      <c r="AK2726" s="145"/>
      <c r="AL2726" s="145"/>
      <c r="AM2726" s="145"/>
      <c r="AN2726" s="145"/>
      <c r="AO2726" s="145"/>
      <c r="AP2726" s="145"/>
      <c r="AQ2726" s="145"/>
    </row>
    <row r="2727" spans="37:43">
      <c r="AK2727" s="145"/>
      <c r="AL2727" s="145"/>
      <c r="AM2727" s="145"/>
      <c r="AN2727" s="145"/>
      <c r="AO2727" s="145"/>
      <c r="AP2727" s="145"/>
      <c r="AQ2727" s="145"/>
    </row>
    <row r="2728" spans="37:43">
      <c r="AK2728" s="145"/>
      <c r="AL2728" s="145"/>
      <c r="AM2728" s="145"/>
      <c r="AN2728" s="145"/>
      <c r="AO2728" s="145"/>
      <c r="AP2728" s="145"/>
      <c r="AQ2728" s="145"/>
    </row>
    <row r="2729" spans="37:43">
      <c r="AK2729" s="145"/>
      <c r="AL2729" s="145"/>
      <c r="AM2729" s="145"/>
      <c r="AN2729" s="145"/>
      <c r="AO2729" s="145"/>
      <c r="AP2729" s="145"/>
      <c r="AQ2729" s="145"/>
    </row>
    <row r="2730" spans="37:43">
      <c r="AK2730" s="145"/>
      <c r="AL2730" s="145"/>
      <c r="AM2730" s="145"/>
      <c r="AN2730" s="145"/>
      <c r="AO2730" s="145"/>
      <c r="AP2730" s="145"/>
      <c r="AQ2730" s="145"/>
    </row>
    <row r="2731" spans="37:43">
      <c r="AK2731" s="145"/>
      <c r="AL2731" s="145"/>
      <c r="AM2731" s="145"/>
      <c r="AN2731" s="145"/>
      <c r="AO2731" s="145"/>
      <c r="AP2731" s="145"/>
      <c r="AQ2731" s="145"/>
    </row>
    <row r="2732" spans="37:43">
      <c r="AK2732" s="145"/>
      <c r="AL2732" s="145"/>
      <c r="AM2732" s="145"/>
      <c r="AN2732" s="145"/>
      <c r="AO2732" s="145"/>
      <c r="AP2732" s="145"/>
      <c r="AQ2732" s="145"/>
    </row>
    <row r="2733" spans="37:43">
      <c r="AK2733" s="145"/>
      <c r="AL2733" s="145"/>
      <c r="AM2733" s="145"/>
      <c r="AN2733" s="145"/>
      <c r="AO2733" s="145"/>
      <c r="AP2733" s="145"/>
      <c r="AQ2733" s="145"/>
    </row>
    <row r="2734" spans="37:43">
      <c r="AK2734" s="145"/>
      <c r="AL2734" s="145"/>
      <c r="AM2734" s="145"/>
      <c r="AN2734" s="145"/>
      <c r="AO2734" s="145"/>
      <c r="AP2734" s="145"/>
      <c r="AQ2734" s="145"/>
    </row>
    <row r="2735" spans="37:43">
      <c r="AK2735" s="145"/>
      <c r="AL2735" s="145"/>
      <c r="AM2735" s="145"/>
      <c r="AN2735" s="145"/>
      <c r="AO2735" s="145"/>
      <c r="AP2735" s="145"/>
      <c r="AQ2735" s="145"/>
    </row>
    <row r="2736" spans="37:43">
      <c r="AK2736" s="145"/>
      <c r="AL2736" s="145"/>
      <c r="AM2736" s="145"/>
      <c r="AN2736" s="145"/>
      <c r="AO2736" s="145"/>
      <c r="AP2736" s="145"/>
      <c r="AQ2736" s="145"/>
    </row>
    <row r="2737" spans="37:43">
      <c r="AK2737" s="145"/>
      <c r="AL2737" s="145"/>
      <c r="AM2737" s="145"/>
      <c r="AN2737" s="145"/>
      <c r="AO2737" s="145"/>
      <c r="AP2737" s="145"/>
      <c r="AQ2737" s="145"/>
    </row>
    <row r="2738" spans="37:43">
      <c r="AK2738" s="145"/>
      <c r="AL2738" s="145"/>
      <c r="AM2738" s="145"/>
      <c r="AN2738" s="145"/>
      <c r="AO2738" s="145"/>
      <c r="AP2738" s="145"/>
      <c r="AQ2738" s="145"/>
    </row>
    <row r="2739" spans="37:43">
      <c r="AK2739" s="145"/>
      <c r="AL2739" s="145"/>
      <c r="AM2739" s="145"/>
      <c r="AN2739" s="145"/>
      <c r="AO2739" s="145"/>
      <c r="AP2739" s="145"/>
      <c r="AQ2739" s="145"/>
    </row>
    <row r="2740" spans="37:43">
      <c r="AK2740" s="145"/>
      <c r="AL2740" s="145"/>
      <c r="AM2740" s="145"/>
      <c r="AN2740" s="145"/>
      <c r="AO2740" s="145"/>
      <c r="AP2740" s="145"/>
      <c r="AQ2740" s="145"/>
    </row>
    <row r="2741" spans="37:43">
      <c r="AK2741" s="145"/>
      <c r="AL2741" s="145"/>
      <c r="AM2741" s="145"/>
      <c r="AN2741" s="145"/>
      <c r="AO2741" s="145"/>
      <c r="AP2741" s="145"/>
      <c r="AQ2741" s="145"/>
    </row>
    <row r="2742" spans="37:43">
      <c r="AK2742" s="145"/>
      <c r="AL2742" s="145"/>
      <c r="AM2742" s="145"/>
      <c r="AN2742" s="145"/>
      <c r="AO2742" s="145"/>
      <c r="AP2742" s="145"/>
      <c r="AQ2742" s="145"/>
    </row>
    <row r="2743" spans="37:43">
      <c r="AK2743" s="145"/>
      <c r="AL2743" s="145"/>
      <c r="AM2743" s="145"/>
      <c r="AN2743" s="145"/>
      <c r="AO2743" s="145"/>
      <c r="AP2743" s="145"/>
      <c r="AQ2743" s="145"/>
    </row>
    <row r="2744" spans="37:43">
      <c r="AK2744" s="145"/>
      <c r="AL2744" s="145"/>
      <c r="AM2744" s="145"/>
      <c r="AN2744" s="145"/>
      <c r="AO2744" s="145"/>
      <c r="AP2744" s="145"/>
      <c r="AQ2744" s="145"/>
    </row>
    <row r="2745" spans="37:43">
      <c r="AK2745" s="145"/>
      <c r="AL2745" s="145"/>
      <c r="AM2745" s="145"/>
      <c r="AN2745" s="145"/>
      <c r="AO2745" s="145"/>
      <c r="AP2745" s="145"/>
      <c r="AQ2745" s="145"/>
    </row>
    <row r="2746" spans="37:43">
      <c r="AK2746" s="145"/>
      <c r="AL2746" s="145"/>
      <c r="AM2746" s="145"/>
      <c r="AN2746" s="145"/>
      <c r="AO2746" s="145"/>
      <c r="AP2746" s="145"/>
      <c r="AQ2746" s="145"/>
    </row>
    <row r="2747" spans="37:43">
      <c r="AK2747" s="145"/>
      <c r="AL2747" s="145"/>
      <c r="AM2747" s="145"/>
      <c r="AN2747" s="145"/>
      <c r="AO2747" s="145"/>
      <c r="AP2747" s="145"/>
      <c r="AQ2747" s="145"/>
    </row>
    <row r="2748" spans="37:43">
      <c r="AK2748" s="145"/>
      <c r="AL2748" s="145"/>
      <c r="AM2748" s="145"/>
      <c r="AN2748" s="145"/>
      <c r="AO2748" s="145"/>
      <c r="AP2748" s="145"/>
      <c r="AQ2748" s="145"/>
    </row>
    <row r="2749" spans="37:43">
      <c r="AK2749" s="145"/>
      <c r="AL2749" s="145"/>
      <c r="AM2749" s="145"/>
      <c r="AN2749" s="145"/>
      <c r="AO2749" s="145"/>
      <c r="AP2749" s="145"/>
      <c r="AQ2749" s="145"/>
    </row>
    <row r="2750" spans="37:43">
      <c r="AK2750" s="145"/>
      <c r="AL2750" s="145"/>
      <c r="AM2750" s="145"/>
      <c r="AN2750" s="145"/>
      <c r="AO2750" s="145"/>
      <c r="AP2750" s="145"/>
      <c r="AQ2750" s="145"/>
    </row>
    <row r="2751" spans="37:43">
      <c r="AK2751" s="145"/>
      <c r="AL2751" s="145"/>
      <c r="AM2751" s="145"/>
      <c r="AN2751" s="145"/>
      <c r="AO2751" s="145"/>
      <c r="AP2751" s="145"/>
      <c r="AQ2751" s="145"/>
    </row>
    <row r="2752" spans="37:43">
      <c r="AK2752" s="145"/>
      <c r="AL2752" s="145"/>
      <c r="AM2752" s="145"/>
      <c r="AN2752" s="145"/>
      <c r="AO2752" s="145"/>
      <c r="AP2752" s="145"/>
      <c r="AQ2752" s="145"/>
    </row>
    <row r="2753" spans="37:43">
      <c r="AK2753" s="145"/>
      <c r="AL2753" s="145"/>
      <c r="AM2753" s="145"/>
      <c r="AN2753" s="145"/>
      <c r="AO2753" s="145"/>
      <c r="AP2753" s="145"/>
      <c r="AQ2753" s="145"/>
    </row>
    <row r="2754" spans="37:43">
      <c r="AK2754" s="145"/>
      <c r="AL2754" s="145"/>
      <c r="AM2754" s="145"/>
      <c r="AN2754" s="145"/>
      <c r="AO2754" s="145"/>
      <c r="AP2754" s="145"/>
      <c r="AQ2754" s="145"/>
    </row>
    <row r="2755" spans="37:43">
      <c r="AK2755" s="145"/>
      <c r="AL2755" s="145"/>
      <c r="AM2755" s="145"/>
      <c r="AN2755" s="145"/>
      <c r="AO2755" s="145"/>
      <c r="AP2755" s="145"/>
      <c r="AQ2755" s="145"/>
    </row>
    <row r="2756" spans="37:43">
      <c r="AK2756" s="145"/>
      <c r="AL2756" s="145"/>
      <c r="AM2756" s="145"/>
      <c r="AN2756" s="145"/>
      <c r="AO2756" s="145"/>
      <c r="AP2756" s="145"/>
      <c r="AQ2756" s="145"/>
    </row>
    <row r="2757" spans="37:43">
      <c r="AK2757" s="145"/>
      <c r="AL2757" s="145"/>
      <c r="AM2757" s="145"/>
      <c r="AN2757" s="145"/>
      <c r="AO2757" s="145"/>
      <c r="AP2757" s="145"/>
      <c r="AQ2757" s="145"/>
    </row>
    <row r="2758" spans="37:43">
      <c r="AK2758" s="145"/>
      <c r="AL2758" s="145"/>
      <c r="AM2758" s="145"/>
      <c r="AN2758" s="145"/>
      <c r="AO2758" s="145"/>
      <c r="AP2758" s="145"/>
      <c r="AQ2758" s="145"/>
    </row>
    <row r="2759" spans="37:43">
      <c r="AK2759" s="145"/>
      <c r="AL2759" s="145"/>
      <c r="AM2759" s="145"/>
      <c r="AN2759" s="145"/>
      <c r="AO2759" s="145"/>
      <c r="AP2759" s="145"/>
      <c r="AQ2759" s="145"/>
    </row>
    <row r="2760" spans="37:43">
      <c r="AK2760" s="145"/>
      <c r="AL2760" s="145"/>
      <c r="AM2760" s="145"/>
      <c r="AN2760" s="145"/>
      <c r="AO2760" s="145"/>
      <c r="AP2760" s="145"/>
      <c r="AQ2760" s="145"/>
    </row>
    <row r="2761" spans="37:43">
      <c r="AK2761" s="145"/>
      <c r="AL2761" s="145"/>
      <c r="AM2761" s="145"/>
      <c r="AN2761" s="145"/>
      <c r="AO2761" s="145"/>
      <c r="AP2761" s="145"/>
      <c r="AQ2761" s="145"/>
    </row>
    <row r="2762" spans="37:43">
      <c r="AK2762" s="145"/>
      <c r="AL2762" s="145"/>
      <c r="AM2762" s="145"/>
      <c r="AN2762" s="145"/>
      <c r="AO2762" s="145"/>
      <c r="AP2762" s="145"/>
      <c r="AQ2762" s="145"/>
    </row>
    <row r="2763" spans="37:43">
      <c r="AK2763" s="145"/>
      <c r="AL2763" s="145"/>
      <c r="AM2763" s="145"/>
      <c r="AN2763" s="145"/>
      <c r="AO2763" s="145"/>
      <c r="AP2763" s="145"/>
      <c r="AQ2763" s="145"/>
    </row>
    <row r="2764" spans="37:43">
      <c r="AK2764" s="145"/>
      <c r="AL2764" s="145"/>
      <c r="AM2764" s="145"/>
      <c r="AN2764" s="145"/>
      <c r="AO2764" s="145"/>
      <c r="AP2764" s="145"/>
      <c r="AQ2764" s="145"/>
    </row>
    <row r="2765" spans="37:43">
      <c r="AK2765" s="145"/>
      <c r="AL2765" s="145"/>
      <c r="AM2765" s="145"/>
      <c r="AN2765" s="145"/>
      <c r="AO2765" s="145"/>
      <c r="AP2765" s="145"/>
      <c r="AQ2765" s="145"/>
    </row>
    <row r="2766" spans="37:43">
      <c r="AK2766" s="145"/>
      <c r="AL2766" s="145"/>
      <c r="AM2766" s="145"/>
      <c r="AN2766" s="145"/>
      <c r="AO2766" s="145"/>
      <c r="AP2766" s="145"/>
      <c r="AQ2766" s="145"/>
    </row>
    <row r="2767" spans="37:43">
      <c r="AK2767" s="145"/>
      <c r="AL2767" s="145"/>
      <c r="AM2767" s="145"/>
      <c r="AN2767" s="145"/>
      <c r="AO2767" s="145"/>
      <c r="AP2767" s="145"/>
      <c r="AQ2767" s="145"/>
    </row>
    <row r="2768" spans="37:43">
      <c r="AK2768" s="145"/>
      <c r="AL2768" s="145"/>
      <c r="AM2768" s="145"/>
      <c r="AN2768" s="145"/>
      <c r="AO2768" s="145"/>
      <c r="AP2768" s="145"/>
      <c r="AQ2768" s="145"/>
    </row>
    <row r="2769" spans="37:43">
      <c r="AK2769" s="145"/>
      <c r="AL2769" s="145"/>
      <c r="AM2769" s="145"/>
      <c r="AN2769" s="145"/>
      <c r="AO2769" s="145"/>
      <c r="AP2769" s="145"/>
      <c r="AQ2769" s="145"/>
    </row>
    <row r="2770" spans="37:43">
      <c r="AK2770" s="145"/>
      <c r="AL2770" s="145"/>
      <c r="AM2770" s="145"/>
      <c r="AN2770" s="145"/>
      <c r="AO2770" s="145"/>
      <c r="AP2770" s="145"/>
      <c r="AQ2770" s="145"/>
    </row>
    <row r="2771" spans="37:43">
      <c r="AK2771" s="145"/>
      <c r="AL2771" s="145"/>
      <c r="AM2771" s="145"/>
      <c r="AN2771" s="145"/>
      <c r="AO2771" s="145"/>
      <c r="AP2771" s="145"/>
      <c r="AQ2771" s="145"/>
    </row>
    <row r="2772" spans="37:43">
      <c r="AK2772" s="145"/>
      <c r="AL2772" s="145"/>
      <c r="AM2772" s="145"/>
      <c r="AN2772" s="145"/>
      <c r="AO2772" s="145"/>
      <c r="AP2772" s="145"/>
      <c r="AQ2772" s="145"/>
    </row>
    <row r="2773" spans="37:43">
      <c r="AK2773" s="145"/>
      <c r="AL2773" s="145"/>
      <c r="AM2773" s="145"/>
      <c r="AN2773" s="145"/>
      <c r="AO2773" s="145"/>
      <c r="AP2773" s="145"/>
      <c r="AQ2773" s="145"/>
    </row>
    <row r="2774" spans="37:43">
      <c r="AK2774" s="145"/>
      <c r="AL2774" s="145"/>
      <c r="AM2774" s="145"/>
      <c r="AN2774" s="145"/>
      <c r="AO2774" s="145"/>
      <c r="AP2774" s="145"/>
      <c r="AQ2774" s="145"/>
    </row>
    <row r="2775" spans="37:43">
      <c r="AK2775" s="145"/>
      <c r="AL2775" s="145"/>
      <c r="AM2775" s="145"/>
      <c r="AN2775" s="145"/>
      <c r="AO2775" s="145"/>
      <c r="AP2775" s="145"/>
      <c r="AQ2775" s="145"/>
    </row>
    <row r="2776" spans="37:43">
      <c r="AK2776" s="145"/>
      <c r="AL2776" s="145"/>
      <c r="AM2776" s="145"/>
      <c r="AN2776" s="145"/>
      <c r="AO2776" s="145"/>
      <c r="AP2776" s="145"/>
      <c r="AQ2776" s="145"/>
    </row>
    <row r="2777" spans="37:43">
      <c r="AK2777" s="145"/>
      <c r="AL2777" s="145"/>
      <c r="AM2777" s="145"/>
      <c r="AN2777" s="145"/>
      <c r="AO2777" s="145"/>
      <c r="AP2777" s="145"/>
      <c r="AQ2777" s="145"/>
    </row>
    <row r="2778" spans="37:43">
      <c r="AK2778" s="145"/>
      <c r="AL2778" s="145"/>
      <c r="AM2778" s="145"/>
      <c r="AN2778" s="145"/>
      <c r="AO2778" s="145"/>
      <c r="AP2778" s="145"/>
      <c r="AQ2778" s="145"/>
    </row>
    <row r="2779" spans="37:43">
      <c r="AK2779" s="145"/>
      <c r="AL2779" s="145"/>
      <c r="AM2779" s="145"/>
      <c r="AN2779" s="145"/>
      <c r="AO2779" s="145"/>
      <c r="AP2779" s="145"/>
      <c r="AQ2779" s="145"/>
    </row>
    <row r="2780" spans="37:43">
      <c r="AK2780" s="145"/>
      <c r="AL2780" s="145"/>
      <c r="AM2780" s="145"/>
      <c r="AN2780" s="145"/>
      <c r="AO2780" s="145"/>
      <c r="AP2780" s="145"/>
      <c r="AQ2780" s="145"/>
    </row>
    <row r="2781" spans="37:43">
      <c r="AK2781" s="145"/>
      <c r="AL2781" s="145"/>
      <c r="AM2781" s="145"/>
      <c r="AN2781" s="145"/>
      <c r="AO2781" s="145"/>
      <c r="AP2781" s="145"/>
      <c r="AQ2781" s="145"/>
    </row>
    <row r="2782" spans="37:43">
      <c r="AK2782" s="145"/>
      <c r="AL2782" s="145"/>
      <c r="AM2782" s="145"/>
      <c r="AN2782" s="145"/>
      <c r="AO2782" s="145"/>
      <c r="AP2782" s="145"/>
      <c r="AQ2782" s="145"/>
    </row>
    <row r="2783" spans="37:43">
      <c r="AK2783" s="145"/>
      <c r="AL2783" s="145"/>
      <c r="AM2783" s="145"/>
      <c r="AN2783" s="145"/>
      <c r="AO2783" s="145"/>
      <c r="AP2783" s="145"/>
      <c r="AQ2783" s="145"/>
    </row>
    <row r="2784" spans="37:43">
      <c r="AK2784" s="145"/>
      <c r="AL2784" s="145"/>
      <c r="AM2784" s="145"/>
      <c r="AN2784" s="145"/>
      <c r="AO2784" s="145"/>
      <c r="AP2784" s="145"/>
      <c r="AQ2784" s="145"/>
    </row>
    <row r="2785" spans="37:43">
      <c r="AK2785" s="145"/>
      <c r="AL2785" s="145"/>
      <c r="AM2785" s="145"/>
      <c r="AN2785" s="145"/>
      <c r="AO2785" s="145"/>
      <c r="AP2785" s="145"/>
      <c r="AQ2785" s="145"/>
    </row>
    <row r="2786" spans="37:43">
      <c r="AK2786" s="145"/>
      <c r="AL2786" s="145"/>
      <c r="AM2786" s="145"/>
      <c r="AN2786" s="145"/>
      <c r="AO2786" s="145"/>
      <c r="AP2786" s="145"/>
      <c r="AQ2786" s="145"/>
    </row>
    <row r="2787" spans="37:43">
      <c r="AK2787" s="145"/>
      <c r="AL2787" s="145"/>
      <c r="AM2787" s="145"/>
      <c r="AN2787" s="145"/>
      <c r="AO2787" s="145"/>
      <c r="AP2787" s="145"/>
      <c r="AQ2787" s="145"/>
    </row>
    <row r="2788" spans="37:43">
      <c r="AK2788" s="145"/>
      <c r="AL2788" s="145"/>
      <c r="AM2788" s="145"/>
      <c r="AN2788" s="145"/>
      <c r="AO2788" s="145"/>
      <c r="AP2788" s="145"/>
      <c r="AQ2788" s="145"/>
    </row>
    <row r="2789" spans="37:43">
      <c r="AK2789" s="145"/>
      <c r="AL2789" s="145"/>
      <c r="AM2789" s="145"/>
      <c r="AN2789" s="145"/>
      <c r="AO2789" s="145"/>
      <c r="AP2789" s="145"/>
      <c r="AQ2789" s="145"/>
    </row>
    <row r="2790" spans="37:43">
      <c r="AK2790" s="145"/>
      <c r="AL2790" s="145"/>
      <c r="AM2790" s="145"/>
      <c r="AN2790" s="145"/>
      <c r="AO2790" s="145"/>
      <c r="AP2790" s="145"/>
      <c r="AQ2790" s="145"/>
    </row>
    <row r="2791" spans="37:43">
      <c r="AK2791" s="145"/>
      <c r="AL2791" s="145"/>
      <c r="AM2791" s="145"/>
      <c r="AN2791" s="145"/>
      <c r="AO2791" s="145"/>
      <c r="AP2791" s="145"/>
      <c r="AQ2791" s="145"/>
    </row>
    <row r="2792" spans="37:43">
      <c r="AK2792" s="145"/>
      <c r="AL2792" s="145"/>
      <c r="AM2792" s="145"/>
      <c r="AN2792" s="145"/>
      <c r="AO2792" s="145"/>
      <c r="AP2792" s="145"/>
      <c r="AQ2792" s="145"/>
    </row>
    <row r="2793" spans="37:43">
      <c r="AK2793" s="145"/>
      <c r="AL2793" s="145"/>
      <c r="AM2793" s="145"/>
      <c r="AN2793" s="145"/>
      <c r="AO2793" s="145"/>
      <c r="AP2793" s="145"/>
      <c r="AQ2793" s="145"/>
    </row>
    <row r="2794" spans="37:43">
      <c r="AK2794" s="145"/>
      <c r="AL2794" s="145"/>
      <c r="AM2794" s="145"/>
      <c r="AN2794" s="145"/>
      <c r="AO2794" s="145"/>
      <c r="AP2794" s="145"/>
      <c r="AQ2794" s="145"/>
    </row>
    <row r="2795" spans="37:43">
      <c r="AK2795" s="145"/>
      <c r="AL2795" s="145"/>
      <c r="AM2795" s="145"/>
      <c r="AN2795" s="145"/>
      <c r="AO2795" s="145"/>
      <c r="AP2795" s="145"/>
      <c r="AQ2795" s="145"/>
    </row>
    <row r="2796" spans="37:43">
      <c r="AK2796" s="145"/>
      <c r="AL2796" s="145"/>
      <c r="AM2796" s="145"/>
      <c r="AN2796" s="145"/>
      <c r="AO2796" s="145"/>
      <c r="AP2796" s="145"/>
      <c r="AQ2796" s="145"/>
    </row>
    <row r="2797" spans="37:43">
      <c r="AK2797" s="145"/>
      <c r="AL2797" s="145"/>
      <c r="AM2797" s="145"/>
      <c r="AN2797" s="145"/>
      <c r="AO2797" s="145"/>
      <c r="AP2797" s="145"/>
      <c r="AQ2797" s="145"/>
    </row>
    <row r="2798" spans="37:43">
      <c r="AK2798" s="145"/>
      <c r="AL2798" s="145"/>
      <c r="AM2798" s="145"/>
      <c r="AN2798" s="145"/>
      <c r="AO2798" s="145"/>
      <c r="AP2798" s="145"/>
      <c r="AQ2798" s="145"/>
    </row>
    <row r="2799" spans="37:43">
      <c r="AK2799" s="145"/>
      <c r="AL2799" s="145"/>
      <c r="AM2799" s="145"/>
      <c r="AN2799" s="145"/>
      <c r="AO2799" s="145"/>
      <c r="AP2799" s="145"/>
      <c r="AQ2799" s="145"/>
    </row>
    <row r="2800" spans="37:43">
      <c r="AK2800" s="145"/>
      <c r="AL2800" s="145"/>
      <c r="AM2800" s="145"/>
      <c r="AN2800" s="145"/>
      <c r="AO2800" s="145"/>
      <c r="AP2800" s="145"/>
      <c r="AQ2800" s="145"/>
    </row>
    <row r="2801" spans="37:43">
      <c r="AK2801" s="145"/>
      <c r="AL2801" s="145"/>
      <c r="AM2801" s="145"/>
      <c r="AN2801" s="145"/>
      <c r="AO2801" s="145"/>
      <c r="AP2801" s="145"/>
      <c r="AQ2801" s="145"/>
    </row>
    <row r="2802" spans="37:43">
      <c r="AK2802" s="145"/>
      <c r="AL2802" s="145"/>
      <c r="AM2802" s="145"/>
      <c r="AN2802" s="145"/>
      <c r="AO2802" s="145"/>
      <c r="AP2802" s="145"/>
      <c r="AQ2802" s="145"/>
    </row>
    <row r="2803" spans="37:43">
      <c r="AK2803" s="145"/>
      <c r="AL2803" s="145"/>
      <c r="AM2803" s="145"/>
      <c r="AN2803" s="145"/>
      <c r="AO2803" s="145"/>
      <c r="AP2803" s="145"/>
      <c r="AQ2803" s="145"/>
    </row>
    <row r="2804" spans="37:43">
      <c r="AK2804" s="145"/>
      <c r="AL2804" s="145"/>
      <c r="AM2804" s="145"/>
      <c r="AN2804" s="145"/>
      <c r="AO2804" s="145"/>
      <c r="AP2804" s="145"/>
      <c r="AQ2804" s="145"/>
    </row>
    <row r="2805" spans="37:43">
      <c r="AK2805" s="145"/>
      <c r="AL2805" s="145"/>
      <c r="AM2805" s="145"/>
      <c r="AN2805" s="145"/>
      <c r="AO2805" s="145"/>
      <c r="AP2805" s="145"/>
      <c r="AQ2805" s="145"/>
    </row>
    <row r="2806" spans="37:43">
      <c r="AK2806" s="145"/>
      <c r="AL2806" s="145"/>
      <c r="AM2806" s="145"/>
      <c r="AN2806" s="145"/>
      <c r="AO2806" s="145"/>
      <c r="AP2806" s="145"/>
      <c r="AQ2806" s="145"/>
    </row>
    <row r="2807" spans="37:43">
      <c r="AK2807" s="145"/>
      <c r="AL2807" s="145"/>
      <c r="AM2807" s="145"/>
      <c r="AN2807" s="145"/>
      <c r="AO2807" s="145"/>
      <c r="AP2807" s="145"/>
      <c r="AQ2807" s="145"/>
    </row>
    <row r="2808" spans="37:43">
      <c r="AK2808" s="145"/>
      <c r="AL2808" s="145"/>
      <c r="AM2808" s="145"/>
      <c r="AN2808" s="145"/>
      <c r="AO2808" s="145"/>
      <c r="AP2808" s="145"/>
      <c r="AQ2808" s="145"/>
    </row>
    <row r="2809" spans="37:43">
      <c r="AK2809" s="145"/>
      <c r="AL2809" s="145"/>
      <c r="AM2809" s="145"/>
      <c r="AN2809" s="145"/>
      <c r="AO2809" s="145"/>
      <c r="AP2809" s="145"/>
      <c r="AQ2809" s="145"/>
    </row>
    <row r="2810" spans="37:43">
      <c r="AK2810" s="145"/>
      <c r="AL2810" s="145"/>
      <c r="AM2810" s="145"/>
      <c r="AN2810" s="145"/>
      <c r="AO2810" s="145"/>
      <c r="AP2810" s="145"/>
      <c r="AQ2810" s="145"/>
    </row>
    <row r="2811" spans="37:43">
      <c r="AK2811" s="145"/>
      <c r="AL2811" s="145"/>
      <c r="AM2811" s="145"/>
      <c r="AN2811" s="145"/>
      <c r="AO2811" s="145"/>
      <c r="AP2811" s="145"/>
      <c r="AQ2811" s="145"/>
    </row>
    <row r="2812" spans="37:43">
      <c r="AK2812" s="145"/>
      <c r="AL2812" s="145"/>
      <c r="AM2812" s="145"/>
      <c r="AN2812" s="145"/>
      <c r="AO2812" s="145"/>
      <c r="AP2812" s="145"/>
      <c r="AQ2812" s="145"/>
    </row>
    <row r="2813" spans="37:43">
      <c r="AK2813" s="145"/>
      <c r="AL2813" s="145"/>
      <c r="AM2813" s="145"/>
      <c r="AN2813" s="145"/>
      <c r="AO2813" s="145"/>
      <c r="AP2813" s="145"/>
      <c r="AQ2813" s="145"/>
    </row>
    <row r="2814" spans="37:43">
      <c r="AK2814" s="145"/>
      <c r="AL2814" s="145"/>
      <c r="AM2814" s="145"/>
      <c r="AN2814" s="145"/>
      <c r="AO2814" s="145"/>
      <c r="AP2814" s="145"/>
      <c r="AQ2814" s="145"/>
    </row>
    <row r="2815" spans="37:43">
      <c r="AK2815" s="145"/>
      <c r="AL2815" s="145"/>
      <c r="AM2815" s="145"/>
      <c r="AN2815" s="145"/>
      <c r="AO2815" s="145"/>
      <c r="AP2815" s="145"/>
      <c r="AQ2815" s="145"/>
    </row>
    <row r="2816" spans="37:43">
      <c r="AK2816" s="145"/>
      <c r="AL2816" s="145"/>
      <c r="AM2816" s="145"/>
      <c r="AN2816" s="145"/>
      <c r="AO2816" s="145"/>
      <c r="AP2816" s="145"/>
      <c r="AQ2816" s="145"/>
    </row>
    <row r="2817" spans="37:43">
      <c r="AK2817" s="145"/>
      <c r="AL2817" s="145"/>
      <c r="AM2817" s="145"/>
      <c r="AN2817" s="145"/>
      <c r="AO2817" s="145"/>
      <c r="AP2817" s="145"/>
      <c r="AQ2817" s="145"/>
    </row>
    <row r="2818" spans="37:43">
      <c r="AK2818" s="145"/>
      <c r="AL2818" s="145"/>
      <c r="AM2818" s="145"/>
      <c r="AN2818" s="145"/>
      <c r="AO2818" s="145"/>
      <c r="AP2818" s="145"/>
      <c r="AQ2818" s="145"/>
    </row>
    <row r="2819" spans="37:43">
      <c r="AK2819" s="145"/>
      <c r="AL2819" s="145"/>
      <c r="AM2819" s="145"/>
      <c r="AN2819" s="145"/>
      <c r="AO2819" s="145"/>
      <c r="AP2819" s="145"/>
      <c r="AQ2819" s="145"/>
    </row>
    <row r="2820" spans="37:43">
      <c r="AK2820" s="145"/>
      <c r="AL2820" s="145"/>
      <c r="AM2820" s="145"/>
      <c r="AN2820" s="145"/>
      <c r="AO2820" s="145"/>
      <c r="AP2820" s="145"/>
      <c r="AQ2820" s="145"/>
    </row>
    <row r="2821" spans="37:43">
      <c r="AK2821" s="145"/>
      <c r="AL2821" s="145"/>
      <c r="AM2821" s="145"/>
      <c r="AN2821" s="145"/>
      <c r="AO2821" s="145"/>
      <c r="AP2821" s="145"/>
      <c r="AQ2821" s="145"/>
    </row>
    <row r="2822" spans="37:43">
      <c r="AK2822" s="145"/>
      <c r="AL2822" s="145"/>
      <c r="AM2822" s="145"/>
      <c r="AN2822" s="145"/>
      <c r="AO2822" s="145"/>
      <c r="AP2822" s="145"/>
      <c r="AQ2822" s="145"/>
    </row>
    <row r="2823" spans="37:43">
      <c r="AK2823" s="145"/>
      <c r="AL2823" s="145"/>
      <c r="AM2823" s="145"/>
      <c r="AN2823" s="145"/>
      <c r="AO2823" s="145"/>
      <c r="AP2823" s="145"/>
      <c r="AQ2823" s="145"/>
    </row>
    <row r="2824" spans="37:43">
      <c r="AK2824" s="145"/>
      <c r="AL2824" s="145"/>
      <c r="AM2824" s="145"/>
      <c r="AN2824" s="145"/>
      <c r="AO2824" s="145"/>
      <c r="AP2824" s="145"/>
      <c r="AQ2824" s="145"/>
    </row>
    <row r="2825" spans="37:43">
      <c r="AK2825" s="145"/>
      <c r="AL2825" s="145"/>
      <c r="AM2825" s="145"/>
      <c r="AN2825" s="145"/>
      <c r="AO2825" s="145"/>
      <c r="AP2825" s="145"/>
      <c r="AQ2825" s="145"/>
    </row>
    <row r="2826" spans="37:43">
      <c r="AK2826" s="145"/>
      <c r="AL2826" s="145"/>
      <c r="AM2826" s="145"/>
      <c r="AN2826" s="145"/>
      <c r="AO2826" s="145"/>
      <c r="AP2826" s="145"/>
      <c r="AQ2826" s="145"/>
    </row>
    <row r="2827" spans="37:43">
      <c r="AK2827" s="145"/>
      <c r="AL2827" s="145"/>
      <c r="AM2827" s="145"/>
      <c r="AN2827" s="145"/>
      <c r="AO2827" s="145"/>
      <c r="AP2827" s="145"/>
      <c r="AQ2827" s="145"/>
    </row>
    <row r="2828" spans="37:43">
      <c r="AK2828" s="145"/>
      <c r="AL2828" s="145"/>
      <c r="AM2828" s="145"/>
      <c r="AN2828" s="145"/>
      <c r="AO2828" s="145"/>
      <c r="AP2828" s="145"/>
      <c r="AQ2828" s="145"/>
    </row>
    <row r="2829" spans="37:43">
      <c r="AK2829" s="145"/>
      <c r="AL2829" s="145"/>
      <c r="AM2829" s="145"/>
      <c r="AN2829" s="145"/>
      <c r="AO2829" s="145"/>
      <c r="AP2829" s="145"/>
      <c r="AQ2829" s="145"/>
    </row>
    <row r="2830" spans="37:43">
      <c r="AK2830" s="145"/>
      <c r="AL2830" s="145"/>
      <c r="AM2830" s="145"/>
      <c r="AN2830" s="145"/>
      <c r="AO2830" s="145"/>
      <c r="AP2830" s="145"/>
      <c r="AQ2830" s="145"/>
    </row>
    <row r="2831" spans="37:43">
      <c r="AK2831" s="145"/>
      <c r="AL2831" s="145"/>
      <c r="AM2831" s="145"/>
      <c r="AN2831" s="145"/>
      <c r="AO2831" s="145"/>
      <c r="AP2831" s="145"/>
      <c r="AQ2831" s="145"/>
    </row>
    <row r="2832" spans="37:43">
      <c r="AK2832" s="145"/>
      <c r="AL2832" s="145"/>
      <c r="AM2832" s="145"/>
      <c r="AN2832" s="145"/>
      <c r="AO2832" s="145"/>
      <c r="AP2832" s="145"/>
      <c r="AQ2832" s="145"/>
    </row>
    <row r="2833" spans="37:43">
      <c r="AK2833" s="145"/>
      <c r="AL2833" s="145"/>
      <c r="AM2833" s="145"/>
      <c r="AN2833" s="145"/>
      <c r="AO2833" s="145"/>
      <c r="AP2833" s="145"/>
      <c r="AQ2833" s="145"/>
    </row>
    <row r="2834" spans="37:43">
      <c r="AK2834" s="145"/>
      <c r="AL2834" s="145"/>
      <c r="AM2834" s="145"/>
      <c r="AN2834" s="145"/>
      <c r="AO2834" s="145"/>
      <c r="AP2834" s="145"/>
      <c r="AQ2834" s="145"/>
    </row>
    <row r="2835" spans="37:43">
      <c r="AK2835" s="145"/>
      <c r="AL2835" s="145"/>
      <c r="AM2835" s="145"/>
      <c r="AN2835" s="145"/>
      <c r="AO2835" s="145"/>
      <c r="AP2835" s="145"/>
      <c r="AQ2835" s="145"/>
    </row>
    <row r="2836" spans="37:43">
      <c r="AK2836" s="145"/>
      <c r="AL2836" s="145"/>
      <c r="AM2836" s="145"/>
      <c r="AN2836" s="145"/>
      <c r="AO2836" s="145"/>
      <c r="AP2836" s="145"/>
      <c r="AQ2836" s="145"/>
    </row>
    <row r="2837" spans="37:43">
      <c r="AK2837" s="145"/>
      <c r="AL2837" s="145"/>
      <c r="AM2837" s="145"/>
      <c r="AN2837" s="145"/>
      <c r="AO2837" s="145"/>
      <c r="AP2837" s="145"/>
      <c r="AQ2837" s="145"/>
    </row>
    <row r="2838" spans="37:43">
      <c r="AK2838" s="145"/>
      <c r="AL2838" s="145"/>
      <c r="AM2838" s="145"/>
      <c r="AN2838" s="145"/>
      <c r="AO2838" s="145"/>
      <c r="AP2838" s="145"/>
      <c r="AQ2838" s="145"/>
    </row>
    <row r="2839" spans="37:43">
      <c r="AK2839" s="145"/>
      <c r="AL2839" s="145"/>
      <c r="AM2839" s="145"/>
      <c r="AN2839" s="145"/>
      <c r="AO2839" s="145"/>
      <c r="AP2839" s="145"/>
      <c r="AQ2839" s="145"/>
    </row>
    <row r="2840" spans="37:43">
      <c r="AK2840" s="145"/>
      <c r="AL2840" s="145"/>
      <c r="AM2840" s="145"/>
      <c r="AN2840" s="145"/>
      <c r="AO2840" s="145"/>
      <c r="AP2840" s="145"/>
      <c r="AQ2840" s="145"/>
    </row>
    <row r="2841" spans="37:43">
      <c r="AK2841" s="145"/>
      <c r="AL2841" s="145"/>
      <c r="AM2841" s="145"/>
      <c r="AN2841" s="145"/>
      <c r="AO2841" s="145"/>
      <c r="AP2841" s="145"/>
      <c r="AQ2841" s="145"/>
    </row>
    <row r="2842" spans="37:43">
      <c r="AK2842" s="145"/>
      <c r="AL2842" s="145"/>
      <c r="AM2842" s="145"/>
      <c r="AN2842" s="145"/>
      <c r="AO2842" s="145"/>
      <c r="AP2842" s="145"/>
      <c r="AQ2842" s="145"/>
    </row>
    <row r="2843" spans="37:43">
      <c r="AK2843" s="145"/>
      <c r="AL2843" s="145"/>
      <c r="AM2843" s="145"/>
      <c r="AN2843" s="145"/>
      <c r="AO2843" s="145"/>
      <c r="AP2843" s="145"/>
      <c r="AQ2843" s="145"/>
    </row>
    <row r="2844" spans="37:43">
      <c r="AK2844" s="145"/>
      <c r="AL2844" s="145"/>
      <c r="AM2844" s="145"/>
      <c r="AN2844" s="145"/>
      <c r="AO2844" s="145"/>
      <c r="AP2844" s="145"/>
      <c r="AQ2844" s="145"/>
    </row>
    <row r="2845" spans="37:43">
      <c r="AK2845" s="145"/>
      <c r="AL2845" s="145"/>
      <c r="AM2845" s="145"/>
      <c r="AN2845" s="145"/>
      <c r="AO2845" s="145"/>
      <c r="AP2845" s="145"/>
      <c r="AQ2845" s="145"/>
    </row>
    <row r="2846" spans="37:43">
      <c r="AK2846" s="145"/>
      <c r="AL2846" s="145"/>
      <c r="AM2846" s="145"/>
      <c r="AN2846" s="145"/>
      <c r="AO2846" s="145"/>
      <c r="AP2846" s="145"/>
      <c r="AQ2846" s="145"/>
    </row>
    <row r="2847" spans="37:43">
      <c r="AK2847" s="145"/>
      <c r="AL2847" s="145"/>
      <c r="AM2847" s="145"/>
      <c r="AN2847" s="145"/>
      <c r="AO2847" s="145"/>
      <c r="AP2847" s="145"/>
      <c r="AQ2847" s="145"/>
    </row>
    <row r="2848" spans="37:43">
      <c r="AK2848" s="145"/>
      <c r="AL2848" s="145"/>
      <c r="AM2848" s="145"/>
      <c r="AN2848" s="145"/>
      <c r="AO2848" s="145"/>
      <c r="AP2848" s="145"/>
      <c r="AQ2848" s="145"/>
    </row>
    <row r="2849" spans="37:43">
      <c r="AK2849" s="145"/>
      <c r="AL2849" s="145"/>
      <c r="AM2849" s="145"/>
      <c r="AN2849" s="145"/>
      <c r="AO2849" s="145"/>
      <c r="AP2849" s="145"/>
      <c r="AQ2849" s="145"/>
    </row>
    <row r="2850" spans="37:43">
      <c r="AK2850" s="145"/>
      <c r="AL2850" s="145"/>
      <c r="AM2850" s="145"/>
      <c r="AN2850" s="145"/>
      <c r="AO2850" s="145"/>
      <c r="AP2850" s="145"/>
      <c r="AQ2850" s="145"/>
    </row>
    <row r="2851" spans="37:43">
      <c r="AK2851" s="145"/>
      <c r="AL2851" s="145"/>
      <c r="AM2851" s="145"/>
      <c r="AN2851" s="145"/>
      <c r="AO2851" s="145"/>
      <c r="AP2851" s="145"/>
      <c r="AQ2851" s="145"/>
    </row>
    <row r="2852" spans="37:43">
      <c r="AK2852" s="145"/>
      <c r="AL2852" s="145"/>
      <c r="AM2852" s="145"/>
      <c r="AN2852" s="145"/>
      <c r="AO2852" s="145"/>
      <c r="AP2852" s="145"/>
      <c r="AQ2852" s="145"/>
    </row>
    <row r="2853" spans="37:43">
      <c r="AK2853" s="145"/>
      <c r="AL2853" s="145"/>
      <c r="AM2853" s="145"/>
      <c r="AN2853" s="145"/>
      <c r="AO2853" s="145"/>
      <c r="AP2853" s="145"/>
      <c r="AQ2853" s="145"/>
    </row>
    <row r="2854" spans="37:43">
      <c r="AK2854" s="145"/>
      <c r="AL2854" s="145"/>
      <c r="AM2854" s="145"/>
      <c r="AN2854" s="145"/>
      <c r="AO2854" s="145"/>
      <c r="AP2854" s="145"/>
      <c r="AQ2854" s="145"/>
    </row>
    <row r="2855" spans="37:43">
      <c r="AK2855" s="145"/>
      <c r="AL2855" s="145"/>
      <c r="AM2855" s="145"/>
      <c r="AN2855" s="145"/>
      <c r="AO2855" s="145"/>
      <c r="AP2855" s="145"/>
      <c r="AQ2855" s="145"/>
    </row>
    <row r="2856" spans="37:43">
      <c r="AK2856" s="145"/>
      <c r="AL2856" s="145"/>
      <c r="AM2856" s="145"/>
      <c r="AN2856" s="145"/>
      <c r="AO2856" s="145"/>
      <c r="AP2856" s="145"/>
      <c r="AQ2856" s="145"/>
    </row>
    <row r="2857" spans="37:43">
      <c r="AK2857" s="145"/>
      <c r="AL2857" s="145"/>
      <c r="AM2857" s="145"/>
      <c r="AN2857" s="145"/>
      <c r="AO2857" s="145"/>
      <c r="AP2857" s="145"/>
      <c r="AQ2857" s="145"/>
    </row>
    <row r="2858" spans="37:43">
      <c r="AK2858" s="145"/>
      <c r="AL2858" s="145"/>
      <c r="AM2858" s="145"/>
      <c r="AN2858" s="145"/>
      <c r="AO2858" s="145"/>
      <c r="AP2858" s="145"/>
      <c r="AQ2858" s="145"/>
    </row>
    <row r="2859" spans="37:43">
      <c r="AK2859" s="145"/>
      <c r="AL2859" s="145"/>
      <c r="AM2859" s="145"/>
      <c r="AN2859" s="145"/>
      <c r="AO2859" s="145"/>
      <c r="AP2859" s="145"/>
      <c r="AQ2859" s="145"/>
    </row>
    <row r="2860" spans="37:43">
      <c r="AK2860" s="145"/>
      <c r="AL2860" s="145"/>
      <c r="AM2860" s="145"/>
      <c r="AN2860" s="145"/>
      <c r="AO2860" s="145"/>
      <c r="AP2860" s="145"/>
      <c r="AQ2860" s="145"/>
    </row>
    <row r="2861" spans="37:43">
      <c r="AK2861" s="145"/>
      <c r="AL2861" s="145"/>
      <c r="AM2861" s="145"/>
      <c r="AN2861" s="145"/>
      <c r="AO2861" s="145"/>
      <c r="AP2861" s="145"/>
      <c r="AQ2861" s="145"/>
    </row>
    <row r="2862" spans="37:43">
      <c r="AK2862" s="145"/>
      <c r="AL2862" s="145"/>
      <c r="AM2862" s="145"/>
      <c r="AN2862" s="145"/>
      <c r="AO2862" s="145"/>
      <c r="AP2862" s="145"/>
      <c r="AQ2862" s="145"/>
    </row>
    <row r="2863" spans="37:43">
      <c r="AK2863" s="145"/>
      <c r="AL2863" s="145"/>
      <c r="AM2863" s="145"/>
      <c r="AN2863" s="145"/>
      <c r="AO2863" s="145"/>
      <c r="AP2863" s="145"/>
      <c r="AQ2863" s="145"/>
    </row>
    <row r="2864" spans="37:43">
      <c r="AK2864" s="145"/>
      <c r="AL2864" s="145"/>
      <c r="AM2864" s="145"/>
      <c r="AN2864" s="145"/>
      <c r="AO2864" s="145"/>
      <c r="AP2864" s="145"/>
      <c r="AQ2864" s="145"/>
    </row>
    <row r="2865" spans="37:43">
      <c r="AK2865" s="145"/>
      <c r="AL2865" s="145"/>
      <c r="AM2865" s="145"/>
      <c r="AN2865" s="145"/>
      <c r="AO2865" s="145"/>
      <c r="AP2865" s="145"/>
      <c r="AQ2865" s="145"/>
    </row>
    <row r="2866" spans="37:43">
      <c r="AK2866" s="145"/>
      <c r="AL2866" s="145"/>
      <c r="AM2866" s="145"/>
      <c r="AN2866" s="145"/>
      <c r="AO2866" s="145"/>
      <c r="AP2866" s="145"/>
      <c r="AQ2866" s="145"/>
    </row>
    <row r="2867" spans="37:43">
      <c r="AK2867" s="145"/>
      <c r="AL2867" s="145"/>
      <c r="AM2867" s="145"/>
      <c r="AN2867" s="145"/>
      <c r="AO2867" s="145"/>
      <c r="AP2867" s="145"/>
      <c r="AQ2867" s="145"/>
    </row>
    <row r="2868" spans="37:43">
      <c r="AK2868" s="145"/>
      <c r="AL2868" s="145"/>
      <c r="AM2868" s="145"/>
      <c r="AN2868" s="145"/>
      <c r="AO2868" s="145"/>
      <c r="AP2868" s="145"/>
      <c r="AQ2868" s="145"/>
    </row>
    <row r="2869" spans="37:43">
      <c r="AK2869" s="145"/>
      <c r="AL2869" s="145"/>
      <c r="AM2869" s="145"/>
      <c r="AN2869" s="145"/>
      <c r="AO2869" s="145"/>
      <c r="AP2869" s="145"/>
      <c r="AQ2869" s="145"/>
    </row>
    <row r="2870" spans="37:43">
      <c r="AK2870" s="145"/>
      <c r="AL2870" s="145"/>
      <c r="AM2870" s="145"/>
      <c r="AN2870" s="145"/>
      <c r="AO2870" s="145"/>
      <c r="AP2870" s="145"/>
      <c r="AQ2870" s="145"/>
    </row>
    <row r="2871" spans="37:43">
      <c r="AK2871" s="145"/>
      <c r="AL2871" s="145"/>
      <c r="AM2871" s="145"/>
      <c r="AN2871" s="145"/>
      <c r="AO2871" s="145"/>
      <c r="AP2871" s="145"/>
      <c r="AQ2871" s="145"/>
    </row>
    <row r="2872" spans="37:43">
      <c r="AK2872" s="145"/>
      <c r="AL2872" s="145"/>
      <c r="AM2872" s="145"/>
      <c r="AN2872" s="145"/>
      <c r="AO2872" s="145"/>
      <c r="AP2872" s="145"/>
      <c r="AQ2872" s="145"/>
    </row>
    <row r="2873" spans="37:43">
      <c r="AK2873" s="145"/>
      <c r="AL2873" s="145"/>
      <c r="AM2873" s="145"/>
      <c r="AN2873" s="145"/>
      <c r="AO2873" s="145"/>
      <c r="AP2873" s="145"/>
      <c r="AQ2873" s="145"/>
    </row>
    <row r="2874" spans="37:43">
      <c r="AK2874" s="145"/>
      <c r="AL2874" s="145"/>
      <c r="AM2874" s="145"/>
      <c r="AN2874" s="145"/>
      <c r="AO2874" s="145"/>
      <c r="AP2874" s="145"/>
      <c r="AQ2874" s="145"/>
    </row>
    <row r="2875" spans="37:43">
      <c r="AK2875" s="145"/>
      <c r="AL2875" s="145"/>
      <c r="AM2875" s="145"/>
      <c r="AN2875" s="145"/>
      <c r="AO2875" s="145"/>
      <c r="AP2875" s="145"/>
      <c r="AQ2875" s="145"/>
    </row>
    <row r="2876" spans="37:43">
      <c r="AK2876" s="145"/>
      <c r="AL2876" s="145"/>
      <c r="AM2876" s="145"/>
      <c r="AN2876" s="145"/>
      <c r="AO2876" s="145"/>
      <c r="AP2876" s="145"/>
      <c r="AQ2876" s="145"/>
    </row>
    <row r="2877" spans="37:43">
      <c r="AK2877" s="145"/>
      <c r="AL2877" s="145"/>
      <c r="AM2877" s="145"/>
      <c r="AN2877" s="145"/>
      <c r="AO2877" s="145"/>
      <c r="AP2877" s="145"/>
      <c r="AQ2877" s="145"/>
    </row>
    <row r="2878" spans="37:43">
      <c r="AK2878" s="145"/>
      <c r="AL2878" s="145"/>
      <c r="AM2878" s="145"/>
      <c r="AN2878" s="145"/>
      <c r="AO2878" s="145"/>
      <c r="AP2878" s="145"/>
      <c r="AQ2878" s="145"/>
    </row>
    <row r="2879" spans="37:43">
      <c r="AK2879" s="145"/>
      <c r="AL2879" s="145"/>
      <c r="AM2879" s="145"/>
      <c r="AN2879" s="145"/>
      <c r="AO2879" s="145"/>
      <c r="AP2879" s="145"/>
      <c r="AQ2879" s="145"/>
    </row>
    <row r="2880" spans="37:43">
      <c r="AK2880" s="145"/>
      <c r="AL2880" s="145"/>
      <c r="AM2880" s="145"/>
      <c r="AN2880" s="145"/>
      <c r="AO2880" s="145"/>
      <c r="AP2880" s="145"/>
      <c r="AQ2880" s="145"/>
    </row>
    <row r="2881" spans="37:43">
      <c r="AK2881" s="145"/>
      <c r="AL2881" s="145"/>
      <c r="AM2881" s="145"/>
      <c r="AN2881" s="145"/>
      <c r="AO2881" s="145"/>
      <c r="AP2881" s="145"/>
      <c r="AQ2881" s="145"/>
    </row>
    <row r="2882" spans="37:43">
      <c r="AK2882" s="145"/>
      <c r="AL2882" s="145"/>
      <c r="AM2882" s="145"/>
      <c r="AN2882" s="145"/>
      <c r="AO2882" s="145"/>
      <c r="AP2882" s="145"/>
      <c r="AQ2882" s="145"/>
    </row>
    <row r="2883" spans="37:43">
      <c r="AK2883" s="145"/>
      <c r="AL2883" s="145"/>
      <c r="AM2883" s="145"/>
      <c r="AN2883" s="145"/>
      <c r="AO2883" s="145"/>
      <c r="AP2883" s="145"/>
      <c r="AQ2883" s="145"/>
    </row>
    <row r="2884" spans="37:43">
      <c r="AK2884" s="145"/>
      <c r="AL2884" s="145"/>
      <c r="AM2884" s="145"/>
      <c r="AN2884" s="145"/>
      <c r="AO2884" s="145"/>
      <c r="AP2884" s="145"/>
      <c r="AQ2884" s="145"/>
    </row>
    <row r="2885" spans="37:43">
      <c r="AK2885" s="145"/>
      <c r="AL2885" s="145"/>
      <c r="AM2885" s="145"/>
      <c r="AN2885" s="145"/>
      <c r="AO2885" s="145"/>
      <c r="AP2885" s="145"/>
      <c r="AQ2885" s="145"/>
    </row>
    <row r="2886" spans="37:43">
      <c r="AK2886" s="145"/>
      <c r="AL2886" s="145"/>
      <c r="AM2886" s="145"/>
      <c r="AN2886" s="145"/>
      <c r="AO2886" s="145"/>
      <c r="AP2886" s="145"/>
      <c r="AQ2886" s="145"/>
    </row>
    <row r="2887" spans="37:43">
      <c r="AK2887" s="145"/>
      <c r="AL2887" s="145"/>
      <c r="AM2887" s="145"/>
      <c r="AN2887" s="145"/>
      <c r="AO2887" s="145"/>
      <c r="AP2887" s="145"/>
      <c r="AQ2887" s="145"/>
    </row>
    <row r="2888" spans="37:43">
      <c r="AK2888" s="145"/>
      <c r="AL2888" s="145"/>
      <c r="AM2888" s="145"/>
      <c r="AN2888" s="145"/>
      <c r="AO2888" s="145"/>
      <c r="AP2888" s="145"/>
      <c r="AQ2888" s="145"/>
    </row>
    <row r="2889" spans="37:43">
      <c r="AK2889" s="145"/>
      <c r="AL2889" s="145"/>
      <c r="AM2889" s="145"/>
      <c r="AN2889" s="145"/>
      <c r="AO2889" s="145"/>
      <c r="AP2889" s="145"/>
      <c r="AQ2889" s="145"/>
    </row>
    <row r="2890" spans="37:43">
      <c r="AK2890" s="145"/>
      <c r="AL2890" s="145"/>
      <c r="AM2890" s="145"/>
      <c r="AN2890" s="145"/>
      <c r="AO2890" s="145"/>
      <c r="AP2890" s="145"/>
      <c r="AQ2890" s="145"/>
    </row>
    <row r="2891" spans="37:43">
      <c r="AK2891" s="145"/>
      <c r="AL2891" s="145"/>
      <c r="AM2891" s="145"/>
      <c r="AN2891" s="145"/>
      <c r="AO2891" s="145"/>
      <c r="AP2891" s="145"/>
      <c r="AQ2891" s="145"/>
    </row>
    <row r="2892" spans="37:43">
      <c r="AK2892" s="145"/>
      <c r="AL2892" s="145"/>
      <c r="AM2892" s="145"/>
      <c r="AN2892" s="145"/>
      <c r="AO2892" s="145"/>
      <c r="AP2892" s="145"/>
      <c r="AQ2892" s="145"/>
    </row>
    <row r="2893" spans="37:43">
      <c r="AK2893" s="145"/>
      <c r="AL2893" s="145"/>
      <c r="AM2893" s="145"/>
      <c r="AN2893" s="145"/>
      <c r="AO2893" s="145"/>
      <c r="AP2893" s="145"/>
      <c r="AQ2893" s="145"/>
    </row>
    <row r="2894" spans="37:43">
      <c r="AK2894" s="145"/>
      <c r="AL2894" s="145"/>
      <c r="AM2894" s="145"/>
      <c r="AN2894" s="145"/>
      <c r="AO2894" s="145"/>
      <c r="AP2894" s="145"/>
      <c r="AQ2894" s="145"/>
    </row>
    <row r="2895" spans="37:43">
      <c r="AK2895" s="145"/>
      <c r="AL2895" s="145"/>
      <c r="AM2895" s="145"/>
      <c r="AN2895" s="145"/>
      <c r="AO2895" s="145"/>
      <c r="AP2895" s="145"/>
      <c r="AQ2895" s="145"/>
    </row>
    <row r="2896" spans="37:43">
      <c r="AK2896" s="145"/>
      <c r="AL2896" s="145"/>
      <c r="AM2896" s="145"/>
      <c r="AN2896" s="145"/>
      <c r="AO2896" s="145"/>
      <c r="AP2896" s="145"/>
      <c r="AQ2896" s="145"/>
    </row>
    <row r="2897" spans="37:43">
      <c r="AK2897" s="145"/>
      <c r="AL2897" s="145"/>
      <c r="AM2897" s="145"/>
      <c r="AN2897" s="145"/>
      <c r="AO2897" s="145"/>
      <c r="AP2897" s="145"/>
      <c r="AQ2897" s="145"/>
    </row>
    <row r="2898" spans="37:43">
      <c r="AK2898" s="145"/>
      <c r="AL2898" s="145"/>
      <c r="AM2898" s="145"/>
      <c r="AN2898" s="145"/>
      <c r="AO2898" s="145"/>
      <c r="AP2898" s="145"/>
      <c r="AQ2898" s="145"/>
    </row>
    <row r="2899" spans="37:43">
      <c r="AK2899" s="145"/>
      <c r="AL2899" s="145"/>
      <c r="AM2899" s="145"/>
      <c r="AN2899" s="145"/>
      <c r="AO2899" s="145"/>
      <c r="AP2899" s="145"/>
      <c r="AQ2899" s="145"/>
    </row>
    <row r="2900" spans="37:43">
      <c r="AK2900" s="145"/>
      <c r="AL2900" s="145"/>
      <c r="AM2900" s="145"/>
      <c r="AN2900" s="145"/>
      <c r="AO2900" s="145"/>
      <c r="AP2900" s="145"/>
      <c r="AQ2900" s="145"/>
    </row>
    <row r="2901" spans="37:43">
      <c r="AK2901" s="145"/>
      <c r="AL2901" s="145"/>
      <c r="AM2901" s="145"/>
      <c r="AN2901" s="145"/>
      <c r="AO2901" s="145"/>
      <c r="AP2901" s="145"/>
      <c r="AQ2901" s="145"/>
    </row>
    <row r="2902" spans="37:43">
      <c r="AK2902" s="145"/>
      <c r="AL2902" s="145"/>
      <c r="AM2902" s="145"/>
      <c r="AN2902" s="145"/>
      <c r="AO2902" s="145"/>
      <c r="AP2902" s="145"/>
      <c r="AQ2902" s="145"/>
    </row>
    <row r="2903" spans="37:43">
      <c r="AK2903" s="145"/>
      <c r="AL2903" s="145"/>
      <c r="AM2903" s="145"/>
      <c r="AN2903" s="145"/>
      <c r="AO2903" s="145"/>
      <c r="AP2903" s="145"/>
      <c r="AQ2903" s="145"/>
    </row>
    <row r="2904" spans="37:43">
      <c r="AK2904" s="145"/>
      <c r="AL2904" s="145"/>
      <c r="AM2904" s="145"/>
      <c r="AN2904" s="145"/>
      <c r="AO2904" s="145"/>
      <c r="AP2904" s="145"/>
      <c r="AQ2904" s="145"/>
    </row>
    <row r="2905" spans="37:43">
      <c r="AK2905" s="145"/>
      <c r="AL2905" s="145"/>
      <c r="AM2905" s="145"/>
      <c r="AN2905" s="145"/>
      <c r="AO2905" s="145"/>
      <c r="AP2905" s="145"/>
      <c r="AQ2905" s="145"/>
    </row>
    <row r="2906" spans="37:43">
      <c r="AK2906" s="145"/>
      <c r="AL2906" s="145"/>
      <c r="AM2906" s="145"/>
      <c r="AN2906" s="145"/>
      <c r="AO2906" s="145"/>
      <c r="AP2906" s="145"/>
      <c r="AQ2906" s="145"/>
    </row>
    <row r="2907" spans="37:43">
      <c r="AK2907" s="145"/>
      <c r="AL2907" s="145"/>
      <c r="AM2907" s="145"/>
      <c r="AN2907" s="145"/>
      <c r="AO2907" s="145"/>
      <c r="AP2907" s="145"/>
      <c r="AQ2907" s="145"/>
    </row>
    <row r="2908" spans="37:43">
      <c r="AK2908" s="145"/>
      <c r="AL2908" s="145"/>
      <c r="AM2908" s="145"/>
      <c r="AN2908" s="145"/>
      <c r="AO2908" s="145"/>
      <c r="AP2908" s="145"/>
      <c r="AQ2908" s="145"/>
    </row>
    <row r="2909" spans="37:43">
      <c r="AK2909" s="145"/>
      <c r="AL2909" s="145"/>
      <c r="AM2909" s="145"/>
      <c r="AN2909" s="145"/>
      <c r="AO2909" s="145"/>
      <c r="AP2909" s="145"/>
      <c r="AQ2909" s="145"/>
    </row>
    <row r="2910" spans="37:43">
      <c r="AK2910" s="145"/>
      <c r="AL2910" s="145"/>
      <c r="AM2910" s="145"/>
      <c r="AN2910" s="145"/>
      <c r="AO2910" s="145"/>
      <c r="AP2910" s="145"/>
      <c r="AQ2910" s="145"/>
    </row>
    <row r="2911" spans="37:43">
      <c r="AK2911" s="145"/>
      <c r="AL2911" s="145"/>
      <c r="AM2911" s="145"/>
      <c r="AN2911" s="145"/>
      <c r="AO2911" s="145"/>
      <c r="AP2911" s="145"/>
      <c r="AQ2911" s="145"/>
    </row>
    <row r="2912" spans="37:43">
      <c r="AK2912" s="145"/>
      <c r="AL2912" s="145"/>
      <c r="AM2912" s="145"/>
      <c r="AN2912" s="145"/>
      <c r="AO2912" s="145"/>
      <c r="AP2912" s="145"/>
      <c r="AQ2912" s="145"/>
    </row>
    <row r="2913" spans="37:43">
      <c r="AK2913" s="145"/>
      <c r="AL2913" s="145"/>
      <c r="AM2913" s="145"/>
      <c r="AN2913" s="145"/>
      <c r="AO2913" s="145"/>
      <c r="AP2913" s="145"/>
      <c r="AQ2913" s="145"/>
    </row>
    <row r="2914" spans="37:43">
      <c r="AK2914" s="145"/>
      <c r="AL2914" s="145"/>
      <c r="AM2914" s="145"/>
      <c r="AN2914" s="145"/>
      <c r="AO2914" s="145"/>
      <c r="AP2914" s="145"/>
      <c r="AQ2914" s="145"/>
    </row>
    <row r="2915" spans="37:43">
      <c r="AK2915" s="145"/>
      <c r="AL2915" s="145"/>
      <c r="AM2915" s="145"/>
      <c r="AN2915" s="145"/>
      <c r="AO2915" s="145"/>
      <c r="AP2915" s="145"/>
      <c r="AQ2915" s="145"/>
    </row>
    <row r="2916" spans="37:43">
      <c r="AK2916" s="145"/>
      <c r="AL2916" s="145"/>
      <c r="AM2916" s="145"/>
      <c r="AN2916" s="145"/>
      <c r="AO2916" s="145"/>
      <c r="AP2916" s="145"/>
      <c r="AQ2916" s="145"/>
    </row>
    <row r="2917" spans="37:43">
      <c r="AK2917" s="145"/>
      <c r="AL2917" s="145"/>
      <c r="AM2917" s="145"/>
      <c r="AN2917" s="145"/>
      <c r="AO2917" s="145"/>
      <c r="AP2917" s="145"/>
      <c r="AQ2917" s="145"/>
    </row>
    <row r="2918" spans="37:43">
      <c r="AK2918" s="145"/>
      <c r="AL2918" s="145"/>
      <c r="AM2918" s="145"/>
      <c r="AN2918" s="145"/>
      <c r="AO2918" s="145"/>
      <c r="AP2918" s="145"/>
      <c r="AQ2918" s="145"/>
    </row>
    <row r="2919" spans="37:43">
      <c r="AK2919" s="145"/>
      <c r="AL2919" s="145"/>
      <c r="AM2919" s="145"/>
      <c r="AN2919" s="145"/>
      <c r="AO2919" s="145"/>
      <c r="AP2919" s="145"/>
      <c r="AQ2919" s="145"/>
    </row>
    <row r="2920" spans="37:43">
      <c r="AK2920" s="145"/>
      <c r="AL2920" s="145"/>
      <c r="AM2920" s="145"/>
      <c r="AN2920" s="145"/>
      <c r="AO2920" s="145"/>
      <c r="AP2920" s="145"/>
      <c r="AQ2920" s="145"/>
    </row>
    <row r="2921" spans="37:43">
      <c r="AK2921" s="145"/>
      <c r="AL2921" s="145"/>
      <c r="AM2921" s="145"/>
      <c r="AN2921" s="145"/>
      <c r="AO2921" s="145"/>
      <c r="AP2921" s="145"/>
      <c r="AQ2921" s="145"/>
    </row>
    <row r="2922" spans="37:43">
      <c r="AK2922" s="145"/>
      <c r="AL2922" s="145"/>
      <c r="AM2922" s="145"/>
      <c r="AN2922" s="145"/>
      <c r="AO2922" s="145"/>
      <c r="AP2922" s="145"/>
      <c r="AQ2922" s="145"/>
    </row>
    <row r="2923" spans="37:43">
      <c r="AK2923" s="145"/>
      <c r="AL2923" s="145"/>
      <c r="AM2923" s="145"/>
      <c r="AN2923" s="145"/>
      <c r="AO2923" s="145"/>
      <c r="AP2923" s="145"/>
      <c r="AQ2923" s="145"/>
    </row>
    <row r="2924" spans="37:43">
      <c r="AK2924" s="145"/>
      <c r="AL2924" s="145"/>
      <c r="AM2924" s="145"/>
      <c r="AN2924" s="145"/>
      <c r="AO2924" s="145"/>
      <c r="AP2924" s="145"/>
      <c r="AQ2924" s="145"/>
    </row>
    <row r="2925" spans="37:43">
      <c r="AK2925" s="145"/>
      <c r="AL2925" s="145"/>
      <c r="AM2925" s="145"/>
      <c r="AN2925" s="145"/>
      <c r="AO2925" s="145"/>
      <c r="AP2925" s="145"/>
      <c r="AQ2925" s="145"/>
    </row>
    <row r="2926" spans="37:43">
      <c r="AK2926" s="145"/>
      <c r="AL2926" s="145"/>
      <c r="AM2926" s="145"/>
      <c r="AN2926" s="145"/>
      <c r="AO2926" s="145"/>
      <c r="AP2926" s="145"/>
      <c r="AQ2926" s="145"/>
    </row>
    <row r="2927" spans="37:43">
      <c r="AK2927" s="145"/>
      <c r="AL2927" s="145"/>
      <c r="AM2927" s="145"/>
      <c r="AN2927" s="145"/>
      <c r="AO2927" s="145"/>
      <c r="AP2927" s="145"/>
      <c r="AQ2927" s="145"/>
    </row>
    <row r="2928" spans="37:43">
      <c r="AK2928" s="145"/>
      <c r="AL2928" s="145"/>
      <c r="AM2928" s="145"/>
      <c r="AN2928" s="145"/>
      <c r="AO2928" s="145"/>
      <c r="AP2928" s="145"/>
      <c r="AQ2928" s="145"/>
    </row>
    <row r="2929" spans="37:43">
      <c r="AK2929" s="145"/>
      <c r="AL2929" s="145"/>
      <c r="AM2929" s="145"/>
      <c r="AN2929" s="145"/>
      <c r="AO2929" s="145"/>
      <c r="AP2929" s="145"/>
      <c r="AQ2929" s="145"/>
    </row>
    <row r="2930" spans="37:43">
      <c r="AK2930" s="145"/>
      <c r="AL2930" s="145"/>
      <c r="AM2930" s="145"/>
      <c r="AN2930" s="145"/>
      <c r="AO2930" s="145"/>
      <c r="AP2930" s="145"/>
      <c r="AQ2930" s="145"/>
    </row>
    <row r="2931" spans="37:43">
      <c r="AK2931" s="145"/>
      <c r="AL2931" s="145"/>
      <c r="AM2931" s="145"/>
      <c r="AN2931" s="145"/>
      <c r="AO2931" s="145"/>
      <c r="AP2931" s="145"/>
      <c r="AQ2931" s="145"/>
    </row>
    <row r="2932" spans="37:43">
      <c r="AK2932" s="145"/>
      <c r="AL2932" s="145"/>
      <c r="AM2932" s="145"/>
      <c r="AN2932" s="145"/>
      <c r="AO2932" s="145"/>
      <c r="AP2932" s="145"/>
      <c r="AQ2932" s="145"/>
    </row>
    <row r="2933" spans="37:43">
      <c r="AK2933" s="145"/>
      <c r="AL2933" s="145"/>
      <c r="AM2933" s="145"/>
      <c r="AN2933" s="145"/>
      <c r="AO2933" s="145"/>
      <c r="AP2933" s="145"/>
      <c r="AQ2933" s="145"/>
    </row>
    <row r="2934" spans="37:43">
      <c r="AK2934" s="145"/>
      <c r="AL2934" s="145"/>
      <c r="AM2934" s="145"/>
      <c r="AN2934" s="145"/>
      <c r="AO2934" s="145"/>
      <c r="AP2934" s="145"/>
      <c r="AQ2934" s="145"/>
    </row>
    <row r="2935" spans="37:43">
      <c r="AK2935" s="145"/>
      <c r="AL2935" s="145"/>
      <c r="AM2935" s="145"/>
      <c r="AN2935" s="145"/>
      <c r="AO2935" s="145"/>
      <c r="AP2935" s="145"/>
      <c r="AQ2935" s="145"/>
    </row>
    <row r="2936" spans="37:43">
      <c r="AK2936" s="145"/>
      <c r="AL2936" s="145"/>
      <c r="AM2936" s="145"/>
      <c r="AN2936" s="145"/>
      <c r="AO2936" s="145"/>
      <c r="AP2936" s="145"/>
      <c r="AQ2936" s="145"/>
    </row>
    <row r="2937" spans="37:43">
      <c r="AK2937" s="145"/>
      <c r="AL2937" s="145"/>
      <c r="AM2937" s="145"/>
      <c r="AN2937" s="145"/>
      <c r="AO2937" s="145"/>
      <c r="AP2937" s="145"/>
      <c r="AQ2937" s="145"/>
    </row>
    <row r="2938" spans="37:43">
      <c r="AK2938" s="145"/>
      <c r="AL2938" s="145"/>
      <c r="AM2938" s="145"/>
      <c r="AN2938" s="145"/>
      <c r="AO2938" s="145"/>
      <c r="AP2938" s="145"/>
      <c r="AQ2938" s="145"/>
    </row>
    <row r="2939" spans="37:43">
      <c r="AK2939" s="145"/>
      <c r="AL2939" s="145"/>
      <c r="AM2939" s="145"/>
      <c r="AN2939" s="145"/>
      <c r="AO2939" s="145"/>
      <c r="AP2939" s="145"/>
      <c r="AQ2939" s="145"/>
    </row>
    <row r="2940" spans="37:43">
      <c r="AK2940" s="145"/>
      <c r="AL2940" s="145"/>
      <c r="AM2940" s="145"/>
      <c r="AN2940" s="145"/>
      <c r="AO2940" s="145"/>
      <c r="AP2940" s="145"/>
      <c r="AQ2940" s="145"/>
    </row>
    <row r="2941" spans="37:43">
      <c r="AK2941" s="145"/>
      <c r="AL2941" s="145"/>
      <c r="AM2941" s="145"/>
      <c r="AN2941" s="145"/>
      <c r="AO2941" s="145"/>
      <c r="AP2941" s="145"/>
      <c r="AQ2941" s="145"/>
    </row>
    <row r="2942" spans="37:43">
      <c r="AK2942" s="145"/>
      <c r="AL2942" s="145"/>
      <c r="AM2942" s="145"/>
      <c r="AN2942" s="145"/>
      <c r="AO2942" s="145"/>
      <c r="AP2942" s="145"/>
      <c r="AQ2942" s="145"/>
    </row>
    <row r="2943" spans="37:43">
      <c r="AK2943" s="145"/>
      <c r="AL2943" s="145"/>
      <c r="AM2943" s="145"/>
      <c r="AN2943" s="145"/>
      <c r="AO2943" s="145"/>
      <c r="AP2943" s="145"/>
      <c r="AQ2943" s="145"/>
    </row>
    <row r="2944" spans="37:43">
      <c r="AK2944" s="145"/>
      <c r="AL2944" s="145"/>
      <c r="AM2944" s="145"/>
      <c r="AN2944" s="145"/>
      <c r="AO2944" s="145"/>
      <c r="AP2944" s="145"/>
      <c r="AQ2944" s="145"/>
    </row>
    <row r="2945" spans="37:43">
      <c r="AK2945" s="145"/>
      <c r="AL2945" s="145"/>
      <c r="AM2945" s="145"/>
      <c r="AN2945" s="145"/>
      <c r="AO2945" s="145"/>
      <c r="AP2945" s="145"/>
      <c r="AQ2945" s="145"/>
    </row>
    <row r="2946" spans="37:43">
      <c r="AK2946" s="145"/>
      <c r="AL2946" s="145"/>
      <c r="AM2946" s="145"/>
      <c r="AN2946" s="145"/>
      <c r="AO2946" s="145"/>
      <c r="AP2946" s="145"/>
      <c r="AQ2946" s="145"/>
    </row>
    <row r="2947" spans="37:43">
      <c r="AK2947" s="145"/>
      <c r="AL2947" s="145"/>
      <c r="AM2947" s="145"/>
      <c r="AN2947" s="145"/>
      <c r="AO2947" s="145"/>
      <c r="AP2947" s="145"/>
      <c r="AQ2947" s="145"/>
    </row>
    <row r="2948" spans="37:43">
      <c r="AK2948" s="145"/>
      <c r="AL2948" s="145"/>
      <c r="AM2948" s="145"/>
      <c r="AN2948" s="145"/>
      <c r="AO2948" s="145"/>
      <c r="AP2948" s="145"/>
      <c r="AQ2948" s="145"/>
    </row>
    <row r="2949" spans="37:43">
      <c r="AK2949" s="145"/>
      <c r="AL2949" s="145"/>
      <c r="AM2949" s="145"/>
      <c r="AN2949" s="145"/>
      <c r="AO2949" s="145"/>
      <c r="AP2949" s="145"/>
      <c r="AQ2949" s="145"/>
    </row>
    <row r="2950" spans="37:43">
      <c r="AK2950" s="145"/>
      <c r="AL2950" s="145"/>
      <c r="AM2950" s="145"/>
      <c r="AN2950" s="145"/>
      <c r="AO2950" s="145"/>
      <c r="AP2950" s="145"/>
      <c r="AQ2950" s="145"/>
    </row>
    <row r="2951" spans="37:43">
      <c r="AK2951" s="145"/>
      <c r="AL2951" s="145"/>
      <c r="AM2951" s="145"/>
      <c r="AN2951" s="145"/>
      <c r="AO2951" s="145"/>
      <c r="AP2951" s="145"/>
      <c r="AQ2951" s="145"/>
    </row>
    <row r="2952" spans="37:43">
      <c r="AK2952" s="145"/>
      <c r="AL2952" s="145"/>
      <c r="AM2952" s="145"/>
      <c r="AN2952" s="145"/>
      <c r="AO2952" s="145"/>
      <c r="AP2952" s="145"/>
      <c r="AQ2952" s="145"/>
    </row>
    <row r="2953" spans="37:43">
      <c r="AK2953" s="145"/>
      <c r="AL2953" s="145"/>
      <c r="AM2953" s="145"/>
      <c r="AN2953" s="145"/>
      <c r="AO2953" s="145"/>
      <c r="AP2953" s="145"/>
      <c r="AQ2953" s="145"/>
    </row>
    <row r="2954" spans="37:43">
      <c r="AK2954" s="145"/>
      <c r="AL2954" s="145"/>
      <c r="AM2954" s="145"/>
      <c r="AN2954" s="145"/>
      <c r="AO2954" s="145"/>
      <c r="AP2954" s="145"/>
      <c r="AQ2954" s="145"/>
    </row>
    <row r="2955" spans="37:43">
      <c r="AK2955" s="145"/>
      <c r="AL2955" s="145"/>
      <c r="AM2955" s="145"/>
      <c r="AN2955" s="145"/>
      <c r="AO2955" s="145"/>
      <c r="AP2955" s="145"/>
      <c r="AQ2955" s="145"/>
    </row>
    <row r="2956" spans="37:43">
      <c r="AK2956" s="145"/>
      <c r="AL2956" s="145"/>
      <c r="AM2956" s="145"/>
      <c r="AN2956" s="145"/>
      <c r="AO2956" s="145"/>
      <c r="AP2956" s="145"/>
      <c r="AQ2956" s="145"/>
    </row>
    <row r="2957" spans="37:43">
      <c r="AK2957" s="145"/>
      <c r="AL2957" s="145"/>
      <c r="AM2957" s="145"/>
      <c r="AN2957" s="145"/>
      <c r="AO2957" s="145"/>
      <c r="AP2957" s="145"/>
      <c r="AQ2957" s="145"/>
    </row>
    <row r="2958" spans="37:43">
      <c r="AK2958" s="145"/>
      <c r="AL2958" s="145"/>
      <c r="AM2958" s="145"/>
      <c r="AN2958" s="145"/>
      <c r="AO2958" s="145"/>
      <c r="AP2958" s="145"/>
      <c r="AQ2958" s="145"/>
    </row>
    <row r="2959" spans="37:43">
      <c r="AK2959" s="145"/>
      <c r="AL2959" s="145"/>
      <c r="AM2959" s="145"/>
      <c r="AN2959" s="145"/>
      <c r="AO2959" s="145"/>
      <c r="AP2959" s="145"/>
      <c r="AQ2959" s="145"/>
    </row>
    <row r="2960" spans="37:43">
      <c r="AK2960" s="145"/>
      <c r="AL2960" s="145"/>
      <c r="AM2960" s="145"/>
      <c r="AN2960" s="145"/>
      <c r="AO2960" s="145"/>
      <c r="AP2960" s="145"/>
      <c r="AQ2960" s="145"/>
    </row>
    <row r="2961" spans="37:43">
      <c r="AK2961" s="145"/>
      <c r="AL2961" s="145"/>
      <c r="AM2961" s="145"/>
      <c r="AN2961" s="145"/>
      <c r="AO2961" s="145"/>
      <c r="AP2961" s="145"/>
      <c r="AQ2961" s="145"/>
    </row>
    <row r="2962" spans="37:43">
      <c r="AK2962" s="145"/>
      <c r="AL2962" s="145"/>
      <c r="AM2962" s="145"/>
      <c r="AN2962" s="145"/>
      <c r="AO2962" s="145"/>
      <c r="AP2962" s="145"/>
      <c r="AQ2962" s="145"/>
    </row>
    <row r="2963" spans="37:43">
      <c r="AK2963" s="145"/>
      <c r="AL2963" s="145"/>
      <c r="AM2963" s="145"/>
      <c r="AN2963" s="145"/>
      <c r="AO2963" s="145"/>
      <c r="AP2963" s="145"/>
      <c r="AQ2963" s="145"/>
    </row>
    <row r="2964" spans="37:43">
      <c r="AK2964" s="145"/>
      <c r="AL2964" s="145"/>
      <c r="AM2964" s="145"/>
      <c r="AN2964" s="145"/>
      <c r="AO2964" s="145"/>
      <c r="AP2964" s="145"/>
      <c r="AQ2964" s="145"/>
    </row>
    <row r="2965" spans="37:43">
      <c r="AK2965" s="145"/>
      <c r="AL2965" s="145"/>
      <c r="AM2965" s="145"/>
      <c r="AN2965" s="145"/>
      <c r="AO2965" s="145"/>
      <c r="AP2965" s="145"/>
      <c r="AQ2965" s="145"/>
    </row>
    <row r="2966" spans="37:43">
      <c r="AK2966" s="145"/>
      <c r="AL2966" s="145"/>
      <c r="AM2966" s="145"/>
      <c r="AN2966" s="145"/>
      <c r="AO2966" s="145"/>
      <c r="AP2966" s="145"/>
      <c r="AQ2966" s="145"/>
    </row>
    <row r="2967" spans="37:43">
      <c r="AK2967" s="145"/>
      <c r="AL2967" s="145"/>
      <c r="AM2967" s="145"/>
      <c r="AN2967" s="145"/>
      <c r="AO2967" s="145"/>
      <c r="AP2967" s="145"/>
      <c r="AQ2967" s="145"/>
    </row>
    <row r="2968" spans="37:43">
      <c r="AK2968" s="145"/>
      <c r="AL2968" s="145"/>
      <c r="AM2968" s="145"/>
      <c r="AN2968" s="145"/>
      <c r="AO2968" s="145"/>
      <c r="AP2968" s="145"/>
      <c r="AQ2968" s="145"/>
    </row>
    <row r="2969" spans="37:43">
      <c r="AK2969" s="145"/>
      <c r="AL2969" s="145"/>
      <c r="AM2969" s="145"/>
      <c r="AN2969" s="145"/>
      <c r="AO2969" s="145"/>
      <c r="AP2969" s="145"/>
      <c r="AQ2969" s="145"/>
    </row>
    <row r="2970" spans="37:43">
      <c r="AK2970" s="145"/>
      <c r="AL2970" s="145"/>
      <c r="AM2970" s="145"/>
      <c r="AN2970" s="145"/>
      <c r="AO2970" s="145"/>
      <c r="AP2970" s="145"/>
      <c r="AQ2970" s="145"/>
    </row>
    <row r="2971" spans="37:43">
      <c r="AK2971" s="145"/>
      <c r="AL2971" s="145"/>
      <c r="AM2971" s="145"/>
      <c r="AN2971" s="145"/>
      <c r="AO2971" s="145"/>
      <c r="AP2971" s="145"/>
      <c r="AQ2971" s="145"/>
    </row>
    <row r="2972" spans="37:43">
      <c r="AK2972" s="145"/>
      <c r="AL2972" s="145"/>
      <c r="AM2972" s="145"/>
      <c r="AN2972" s="145"/>
      <c r="AO2972" s="145"/>
      <c r="AP2972" s="145"/>
      <c r="AQ2972" s="145"/>
    </row>
    <row r="2973" spans="37:43">
      <c r="AK2973" s="145"/>
      <c r="AL2973" s="145"/>
      <c r="AM2973" s="145"/>
      <c r="AN2973" s="145"/>
      <c r="AO2973" s="145"/>
      <c r="AP2973" s="145"/>
      <c r="AQ2973" s="145"/>
    </row>
    <row r="2974" spans="37:43">
      <c r="AK2974" s="145"/>
      <c r="AL2974" s="145"/>
      <c r="AM2974" s="145"/>
      <c r="AN2974" s="145"/>
      <c r="AO2974" s="145"/>
      <c r="AP2974" s="145"/>
      <c r="AQ2974" s="145"/>
    </row>
    <row r="2975" spans="37:43">
      <c r="AK2975" s="145"/>
      <c r="AL2975" s="145"/>
      <c r="AM2975" s="145"/>
      <c r="AN2975" s="145"/>
      <c r="AO2975" s="145"/>
      <c r="AP2975" s="145"/>
      <c r="AQ2975" s="145"/>
    </row>
    <row r="2976" spans="37:43">
      <c r="AK2976" s="145"/>
      <c r="AL2976" s="145"/>
      <c r="AM2976" s="145"/>
      <c r="AN2976" s="145"/>
      <c r="AO2976" s="145"/>
      <c r="AP2976" s="145"/>
      <c r="AQ2976" s="145"/>
    </row>
    <row r="2977" spans="37:43">
      <c r="AK2977" s="145"/>
      <c r="AL2977" s="145"/>
      <c r="AM2977" s="145"/>
      <c r="AN2977" s="145"/>
      <c r="AO2977" s="145"/>
      <c r="AP2977" s="145"/>
      <c r="AQ2977" s="145"/>
    </row>
    <row r="2978" spans="37:43">
      <c r="AK2978" s="145"/>
      <c r="AL2978" s="145"/>
      <c r="AM2978" s="145"/>
      <c r="AN2978" s="145"/>
      <c r="AO2978" s="145"/>
      <c r="AP2978" s="145"/>
      <c r="AQ2978" s="145"/>
    </row>
    <row r="2979" spans="37:43">
      <c r="AK2979" s="145"/>
      <c r="AL2979" s="145"/>
      <c r="AM2979" s="145"/>
      <c r="AN2979" s="145"/>
      <c r="AO2979" s="145"/>
      <c r="AP2979" s="145"/>
      <c r="AQ2979" s="145"/>
    </row>
    <row r="2980" spans="37:43">
      <c r="AK2980" s="145"/>
      <c r="AL2980" s="145"/>
      <c r="AM2980" s="145"/>
      <c r="AN2980" s="145"/>
      <c r="AO2980" s="145"/>
      <c r="AP2980" s="145"/>
      <c r="AQ2980" s="145"/>
    </row>
    <row r="2981" spans="37:43">
      <c r="AK2981" s="145"/>
      <c r="AL2981" s="145"/>
      <c r="AM2981" s="145"/>
      <c r="AN2981" s="145"/>
      <c r="AO2981" s="145"/>
      <c r="AP2981" s="145"/>
      <c r="AQ2981" s="145"/>
    </row>
    <row r="2982" spans="37:43">
      <c r="AK2982" s="145"/>
      <c r="AL2982" s="145"/>
      <c r="AM2982" s="145"/>
      <c r="AN2982" s="145"/>
      <c r="AO2982" s="145"/>
      <c r="AP2982" s="145"/>
      <c r="AQ2982" s="145"/>
    </row>
    <row r="2983" spans="37:43">
      <c r="AK2983" s="145"/>
      <c r="AL2983" s="145"/>
      <c r="AM2983" s="145"/>
      <c r="AN2983" s="145"/>
      <c r="AO2983" s="145"/>
      <c r="AP2983" s="145"/>
      <c r="AQ2983" s="145"/>
    </row>
    <row r="2984" spans="37:43">
      <c r="AK2984" s="145"/>
      <c r="AL2984" s="145"/>
      <c r="AM2984" s="145"/>
      <c r="AN2984" s="145"/>
      <c r="AO2984" s="145"/>
      <c r="AP2984" s="145"/>
      <c r="AQ2984" s="145"/>
    </row>
    <row r="2985" spans="37:43">
      <c r="AK2985" s="145"/>
      <c r="AL2985" s="145"/>
      <c r="AM2985" s="145"/>
      <c r="AN2985" s="145"/>
      <c r="AO2985" s="145"/>
      <c r="AP2985" s="145"/>
      <c r="AQ2985" s="145"/>
    </row>
    <row r="2986" spans="37:43">
      <c r="AK2986" s="145"/>
      <c r="AL2986" s="145"/>
      <c r="AM2986" s="145"/>
      <c r="AN2986" s="145"/>
      <c r="AO2986" s="145"/>
      <c r="AP2986" s="145"/>
      <c r="AQ2986" s="145"/>
    </row>
    <row r="2987" spans="37:43">
      <c r="AK2987" s="145"/>
      <c r="AL2987" s="145"/>
      <c r="AM2987" s="145"/>
      <c r="AN2987" s="145"/>
      <c r="AO2987" s="145"/>
      <c r="AP2987" s="145"/>
      <c r="AQ2987" s="145"/>
    </row>
    <row r="2988" spans="37:43">
      <c r="AK2988" s="145"/>
      <c r="AL2988" s="145"/>
      <c r="AM2988" s="145"/>
      <c r="AN2988" s="145"/>
      <c r="AO2988" s="145"/>
      <c r="AP2988" s="145"/>
      <c r="AQ2988" s="145"/>
    </row>
    <row r="2989" spans="37:43">
      <c r="AK2989" s="145"/>
      <c r="AL2989" s="145"/>
      <c r="AM2989" s="145"/>
      <c r="AN2989" s="145"/>
      <c r="AO2989" s="145"/>
      <c r="AP2989" s="145"/>
      <c r="AQ2989" s="145"/>
    </row>
    <row r="2990" spans="37:43">
      <c r="AK2990" s="145"/>
      <c r="AL2990" s="145"/>
      <c r="AM2990" s="145"/>
      <c r="AN2990" s="145"/>
      <c r="AO2990" s="145"/>
      <c r="AP2990" s="145"/>
      <c r="AQ2990" s="145"/>
    </row>
    <row r="2991" spans="37:43">
      <c r="AK2991" s="145"/>
      <c r="AL2991" s="145"/>
      <c r="AM2991" s="145"/>
      <c r="AN2991" s="145"/>
      <c r="AO2991" s="145"/>
      <c r="AP2991" s="145"/>
      <c r="AQ2991" s="145"/>
    </row>
    <row r="2992" spans="37:43">
      <c r="AK2992" s="145"/>
      <c r="AL2992" s="145"/>
      <c r="AM2992" s="145"/>
      <c r="AN2992" s="145"/>
      <c r="AO2992" s="145"/>
      <c r="AP2992" s="145"/>
      <c r="AQ2992" s="145"/>
    </row>
    <row r="2993" spans="37:43">
      <c r="AK2993" s="145"/>
      <c r="AL2993" s="145"/>
      <c r="AM2993" s="145"/>
      <c r="AN2993" s="145"/>
      <c r="AO2993" s="145"/>
      <c r="AP2993" s="145"/>
      <c r="AQ2993" s="145"/>
    </row>
    <row r="2994" spans="37:43">
      <c r="AK2994" s="145"/>
      <c r="AL2994" s="145"/>
      <c r="AM2994" s="145"/>
      <c r="AN2994" s="145"/>
      <c r="AO2994" s="145"/>
      <c r="AP2994" s="145"/>
      <c r="AQ2994" s="145"/>
    </row>
    <row r="2995" spans="37:43">
      <c r="AK2995" s="145"/>
      <c r="AL2995" s="145"/>
      <c r="AM2995" s="145"/>
      <c r="AN2995" s="145"/>
      <c r="AO2995" s="145"/>
      <c r="AP2995" s="145"/>
      <c r="AQ2995" s="145"/>
    </row>
    <row r="2996" spans="37:43">
      <c r="AK2996" s="145"/>
      <c r="AL2996" s="145"/>
      <c r="AM2996" s="145"/>
      <c r="AN2996" s="145"/>
      <c r="AO2996" s="145"/>
      <c r="AP2996" s="145"/>
      <c r="AQ2996" s="145"/>
    </row>
    <row r="2997" spans="37:43">
      <c r="AK2997" s="145"/>
      <c r="AL2997" s="145"/>
      <c r="AM2997" s="145"/>
      <c r="AN2997" s="145"/>
      <c r="AO2997" s="145"/>
      <c r="AP2997" s="145"/>
      <c r="AQ2997" s="145"/>
    </row>
    <row r="2998" spans="37:43">
      <c r="AK2998" s="145"/>
      <c r="AL2998" s="145"/>
      <c r="AM2998" s="145"/>
      <c r="AN2998" s="145"/>
      <c r="AO2998" s="145"/>
      <c r="AP2998" s="145"/>
      <c r="AQ2998" s="145"/>
    </row>
    <row r="2999" spans="37:43">
      <c r="AK2999" s="145"/>
      <c r="AL2999" s="145"/>
      <c r="AM2999" s="145"/>
      <c r="AN2999" s="145"/>
      <c r="AO2999" s="145"/>
      <c r="AP2999" s="145"/>
      <c r="AQ2999" s="145"/>
    </row>
    <row r="3000" spans="37:43">
      <c r="AK3000" s="145"/>
      <c r="AL3000" s="145"/>
      <c r="AM3000" s="145"/>
      <c r="AN3000" s="145"/>
      <c r="AO3000" s="145"/>
      <c r="AP3000" s="145"/>
      <c r="AQ3000" s="145"/>
    </row>
    <row r="3001" spans="37:43">
      <c r="AK3001" s="145"/>
      <c r="AL3001" s="145"/>
      <c r="AM3001" s="145"/>
      <c r="AN3001" s="145"/>
      <c r="AO3001" s="145"/>
      <c r="AP3001" s="145"/>
      <c r="AQ3001" s="145"/>
    </row>
    <row r="3002" spans="37:43">
      <c r="AK3002" s="145"/>
      <c r="AL3002" s="145"/>
      <c r="AM3002" s="145"/>
      <c r="AN3002" s="145"/>
      <c r="AO3002" s="145"/>
      <c r="AP3002" s="145"/>
      <c r="AQ3002" s="145"/>
    </row>
    <row r="3003" spans="37:43">
      <c r="AK3003" s="145"/>
      <c r="AL3003" s="145"/>
      <c r="AM3003" s="145"/>
      <c r="AN3003" s="145"/>
      <c r="AO3003" s="145"/>
      <c r="AP3003" s="145"/>
      <c r="AQ3003" s="145"/>
    </row>
    <row r="3004" spans="37:43">
      <c r="AK3004" s="145"/>
      <c r="AL3004" s="145"/>
      <c r="AM3004" s="145"/>
      <c r="AN3004" s="145"/>
      <c r="AO3004" s="145"/>
      <c r="AP3004" s="145"/>
      <c r="AQ3004" s="145"/>
    </row>
    <row r="3005" spans="37:43">
      <c r="AK3005" s="145"/>
      <c r="AL3005" s="145"/>
      <c r="AM3005" s="145"/>
      <c r="AN3005" s="145"/>
      <c r="AO3005" s="145"/>
      <c r="AP3005" s="145"/>
      <c r="AQ3005" s="145"/>
    </row>
    <row r="3006" spans="37:43">
      <c r="AK3006" s="145"/>
      <c r="AL3006" s="145"/>
      <c r="AM3006" s="145"/>
      <c r="AN3006" s="145"/>
      <c r="AO3006" s="145"/>
      <c r="AP3006" s="145"/>
      <c r="AQ3006" s="145"/>
    </row>
    <row r="3007" spans="37:43">
      <c r="AK3007" s="145"/>
      <c r="AL3007" s="145"/>
      <c r="AM3007" s="145"/>
      <c r="AN3007" s="145"/>
      <c r="AO3007" s="145"/>
      <c r="AP3007" s="145"/>
      <c r="AQ3007" s="145"/>
    </row>
    <row r="3008" spans="37:43">
      <c r="AK3008" s="145"/>
      <c r="AL3008" s="145"/>
      <c r="AM3008" s="145"/>
      <c r="AN3008" s="145"/>
      <c r="AO3008" s="145"/>
      <c r="AP3008" s="145"/>
      <c r="AQ3008" s="145"/>
    </row>
    <row r="3009" spans="37:43">
      <c r="AK3009" s="145"/>
      <c r="AL3009" s="145"/>
      <c r="AM3009" s="145"/>
      <c r="AN3009" s="145"/>
      <c r="AO3009" s="145"/>
      <c r="AP3009" s="145"/>
      <c r="AQ3009" s="145"/>
    </row>
    <row r="3010" spans="37:43">
      <c r="AK3010" s="145"/>
      <c r="AL3010" s="145"/>
      <c r="AM3010" s="145"/>
      <c r="AN3010" s="145"/>
      <c r="AO3010" s="145"/>
      <c r="AP3010" s="145"/>
      <c r="AQ3010" s="145"/>
    </row>
    <row r="3011" spans="37:43">
      <c r="AK3011" s="145"/>
      <c r="AL3011" s="145"/>
      <c r="AM3011" s="145"/>
      <c r="AN3011" s="145"/>
      <c r="AO3011" s="145"/>
      <c r="AP3011" s="145"/>
      <c r="AQ3011" s="145"/>
    </row>
    <row r="3012" spans="37:43">
      <c r="AK3012" s="145"/>
      <c r="AL3012" s="145"/>
      <c r="AM3012" s="145"/>
      <c r="AN3012" s="145"/>
      <c r="AO3012" s="145"/>
      <c r="AP3012" s="145"/>
      <c r="AQ3012" s="145"/>
    </row>
    <row r="3013" spans="37:43">
      <c r="AK3013" s="145"/>
      <c r="AL3013" s="145"/>
      <c r="AM3013" s="145"/>
      <c r="AN3013" s="145"/>
      <c r="AO3013" s="145"/>
      <c r="AP3013" s="145"/>
      <c r="AQ3013" s="145"/>
    </row>
    <row r="3014" spans="37:43">
      <c r="AK3014" s="145"/>
      <c r="AL3014" s="145"/>
      <c r="AM3014" s="145"/>
      <c r="AN3014" s="145"/>
      <c r="AO3014" s="145"/>
      <c r="AP3014" s="145"/>
      <c r="AQ3014" s="145"/>
    </row>
    <row r="3015" spans="37:43">
      <c r="AK3015" s="145"/>
      <c r="AL3015" s="145"/>
      <c r="AM3015" s="145"/>
      <c r="AN3015" s="145"/>
      <c r="AO3015" s="145"/>
      <c r="AP3015" s="145"/>
      <c r="AQ3015" s="145"/>
    </row>
    <row r="3016" spans="37:43">
      <c r="AK3016" s="145"/>
      <c r="AL3016" s="145"/>
      <c r="AM3016" s="145"/>
      <c r="AN3016" s="145"/>
      <c r="AO3016" s="145"/>
      <c r="AP3016" s="145"/>
      <c r="AQ3016" s="145"/>
    </row>
    <row r="3017" spans="37:43">
      <c r="AK3017" s="145"/>
      <c r="AL3017" s="145"/>
      <c r="AM3017" s="145"/>
      <c r="AN3017" s="145"/>
      <c r="AO3017" s="145"/>
      <c r="AP3017" s="145"/>
      <c r="AQ3017" s="145"/>
    </row>
    <row r="3018" spans="37:43">
      <c r="AK3018" s="145"/>
      <c r="AL3018" s="145"/>
      <c r="AM3018" s="145"/>
      <c r="AN3018" s="145"/>
      <c r="AO3018" s="145"/>
      <c r="AP3018" s="145"/>
      <c r="AQ3018" s="145"/>
    </row>
    <row r="3019" spans="37:43">
      <c r="AK3019" s="145"/>
      <c r="AL3019" s="145"/>
      <c r="AM3019" s="145"/>
      <c r="AN3019" s="145"/>
      <c r="AO3019" s="145"/>
      <c r="AP3019" s="145"/>
      <c r="AQ3019" s="145"/>
    </row>
    <row r="3020" spans="37:43">
      <c r="AK3020" s="145"/>
      <c r="AL3020" s="145"/>
      <c r="AM3020" s="145"/>
      <c r="AN3020" s="145"/>
      <c r="AO3020" s="145"/>
      <c r="AP3020" s="145"/>
      <c r="AQ3020" s="145"/>
    </row>
    <row r="3021" spans="37:43">
      <c r="AK3021" s="145"/>
      <c r="AL3021" s="145"/>
      <c r="AM3021" s="145"/>
      <c r="AN3021" s="145"/>
      <c r="AO3021" s="145"/>
      <c r="AP3021" s="145"/>
      <c r="AQ3021" s="145"/>
    </row>
    <row r="3022" spans="37:43">
      <c r="AK3022" s="145"/>
      <c r="AL3022" s="145"/>
      <c r="AM3022" s="145"/>
      <c r="AN3022" s="145"/>
      <c r="AO3022" s="145"/>
      <c r="AP3022" s="145"/>
      <c r="AQ3022" s="145"/>
    </row>
    <row r="3023" spans="37:43">
      <c r="AK3023" s="145"/>
      <c r="AL3023" s="145"/>
      <c r="AM3023" s="145"/>
      <c r="AN3023" s="145"/>
      <c r="AO3023" s="145"/>
      <c r="AP3023" s="145"/>
      <c r="AQ3023" s="145"/>
    </row>
    <row r="3024" spans="37:43">
      <c r="AK3024" s="145"/>
      <c r="AL3024" s="145"/>
      <c r="AM3024" s="145"/>
      <c r="AN3024" s="145"/>
      <c r="AO3024" s="145"/>
      <c r="AP3024" s="145"/>
      <c r="AQ3024" s="145"/>
    </row>
    <row r="3025" spans="37:43">
      <c r="AK3025" s="145"/>
      <c r="AL3025" s="145"/>
      <c r="AM3025" s="145"/>
      <c r="AN3025" s="145"/>
      <c r="AO3025" s="145"/>
      <c r="AP3025" s="145"/>
      <c r="AQ3025" s="145"/>
    </row>
    <row r="3026" spans="37:43">
      <c r="AK3026" s="145"/>
      <c r="AL3026" s="145"/>
      <c r="AM3026" s="145"/>
      <c r="AN3026" s="145"/>
      <c r="AO3026" s="145"/>
      <c r="AP3026" s="145"/>
      <c r="AQ3026" s="145"/>
    </row>
    <row r="3027" spans="37:43">
      <c r="AK3027" s="145"/>
      <c r="AL3027" s="145"/>
      <c r="AM3027" s="145"/>
      <c r="AN3027" s="145"/>
      <c r="AO3027" s="145"/>
      <c r="AP3027" s="145"/>
      <c r="AQ3027" s="145"/>
    </row>
    <row r="3028" spans="37:43">
      <c r="AK3028" s="145"/>
      <c r="AL3028" s="145"/>
      <c r="AM3028" s="145"/>
      <c r="AN3028" s="145"/>
      <c r="AO3028" s="145"/>
      <c r="AP3028" s="145"/>
      <c r="AQ3028" s="145"/>
    </row>
    <row r="3029" spans="37:43">
      <c r="AK3029" s="145"/>
      <c r="AL3029" s="145"/>
      <c r="AM3029" s="145"/>
      <c r="AN3029" s="145"/>
      <c r="AO3029" s="145"/>
      <c r="AP3029" s="145"/>
      <c r="AQ3029" s="145"/>
    </row>
    <row r="3030" spans="37:43">
      <c r="AK3030" s="145"/>
      <c r="AL3030" s="145"/>
      <c r="AM3030" s="145"/>
      <c r="AN3030" s="145"/>
      <c r="AO3030" s="145"/>
      <c r="AP3030" s="145"/>
      <c r="AQ3030" s="145"/>
    </row>
    <row r="3031" spans="37:43">
      <c r="AK3031" s="145"/>
      <c r="AL3031" s="145"/>
      <c r="AM3031" s="145"/>
      <c r="AN3031" s="145"/>
      <c r="AO3031" s="145"/>
      <c r="AP3031" s="145"/>
      <c r="AQ3031" s="145"/>
    </row>
    <row r="3032" spans="37:43">
      <c r="AK3032" s="145"/>
      <c r="AL3032" s="145"/>
      <c r="AM3032" s="145"/>
      <c r="AN3032" s="145"/>
      <c r="AO3032" s="145"/>
      <c r="AP3032" s="145"/>
      <c r="AQ3032" s="145"/>
    </row>
    <row r="3033" spans="37:43">
      <c r="AK3033" s="145"/>
      <c r="AL3033" s="145"/>
      <c r="AM3033" s="145"/>
      <c r="AN3033" s="145"/>
      <c r="AO3033" s="145"/>
      <c r="AP3033" s="145"/>
      <c r="AQ3033" s="145"/>
    </row>
    <row r="3034" spans="37:43">
      <c r="AK3034" s="145"/>
      <c r="AL3034" s="145"/>
      <c r="AM3034" s="145"/>
      <c r="AN3034" s="145"/>
      <c r="AO3034" s="145"/>
      <c r="AP3034" s="145"/>
      <c r="AQ3034" s="145"/>
    </row>
    <row r="3035" spans="37:43">
      <c r="AK3035" s="145"/>
      <c r="AL3035" s="145"/>
      <c r="AM3035" s="145"/>
      <c r="AN3035" s="145"/>
      <c r="AO3035" s="145"/>
      <c r="AP3035" s="145"/>
      <c r="AQ3035" s="145"/>
    </row>
    <row r="3036" spans="37:43">
      <c r="AK3036" s="145"/>
      <c r="AL3036" s="145"/>
      <c r="AM3036" s="145"/>
      <c r="AN3036" s="145"/>
      <c r="AO3036" s="145"/>
      <c r="AP3036" s="145"/>
      <c r="AQ3036" s="145"/>
    </row>
    <row r="3037" spans="37:43">
      <c r="AK3037" s="145"/>
      <c r="AL3037" s="145"/>
      <c r="AM3037" s="145"/>
      <c r="AN3037" s="145"/>
      <c r="AO3037" s="145"/>
      <c r="AP3037" s="145"/>
      <c r="AQ3037" s="145"/>
    </row>
    <row r="3038" spans="37:43">
      <c r="AK3038" s="145"/>
      <c r="AL3038" s="145"/>
      <c r="AM3038" s="145"/>
      <c r="AN3038" s="145"/>
      <c r="AO3038" s="145"/>
      <c r="AP3038" s="145"/>
      <c r="AQ3038" s="145"/>
    </row>
    <row r="3039" spans="37:43">
      <c r="AK3039" s="145"/>
      <c r="AL3039" s="145"/>
      <c r="AM3039" s="145"/>
      <c r="AN3039" s="145"/>
      <c r="AO3039" s="145"/>
      <c r="AP3039" s="145"/>
      <c r="AQ3039" s="145"/>
    </row>
    <row r="3040" spans="37:43">
      <c r="AK3040" s="145"/>
      <c r="AL3040" s="145"/>
      <c r="AM3040" s="145"/>
      <c r="AN3040" s="145"/>
      <c r="AO3040" s="145"/>
      <c r="AP3040" s="145"/>
      <c r="AQ3040" s="145"/>
    </row>
    <row r="3041" spans="37:43">
      <c r="AK3041" s="145"/>
      <c r="AL3041" s="145"/>
      <c r="AM3041" s="145"/>
      <c r="AN3041" s="145"/>
      <c r="AO3041" s="145"/>
      <c r="AP3041" s="145"/>
      <c r="AQ3041" s="145"/>
    </row>
    <row r="3042" spans="37:43">
      <c r="AK3042" s="145"/>
      <c r="AL3042" s="145"/>
      <c r="AM3042" s="145"/>
      <c r="AN3042" s="145"/>
      <c r="AO3042" s="145"/>
      <c r="AP3042" s="145"/>
      <c r="AQ3042" s="145"/>
    </row>
    <row r="3043" spans="37:43">
      <c r="AK3043" s="145"/>
      <c r="AL3043" s="145"/>
      <c r="AM3043" s="145"/>
      <c r="AN3043" s="145"/>
      <c r="AO3043" s="145"/>
      <c r="AP3043" s="145"/>
      <c r="AQ3043" s="145"/>
    </row>
    <row r="3044" spans="37:43">
      <c r="AK3044" s="145"/>
      <c r="AL3044" s="145"/>
      <c r="AM3044" s="145"/>
      <c r="AN3044" s="145"/>
      <c r="AO3044" s="145"/>
      <c r="AP3044" s="145"/>
      <c r="AQ3044" s="145"/>
    </row>
    <row r="3045" spans="37:43">
      <c r="AK3045" s="145"/>
      <c r="AL3045" s="145"/>
      <c r="AM3045" s="145"/>
      <c r="AN3045" s="145"/>
      <c r="AO3045" s="145"/>
      <c r="AP3045" s="145"/>
      <c r="AQ3045" s="145"/>
    </row>
    <row r="3046" spans="37:43">
      <c r="AK3046" s="145"/>
      <c r="AL3046" s="145"/>
      <c r="AM3046" s="145"/>
      <c r="AN3046" s="145"/>
      <c r="AO3046" s="145"/>
      <c r="AP3046" s="145"/>
      <c r="AQ3046" s="145"/>
    </row>
    <row r="3047" spans="37:43">
      <c r="AK3047" s="145"/>
      <c r="AL3047" s="145"/>
      <c r="AM3047" s="145"/>
      <c r="AN3047" s="145"/>
      <c r="AO3047" s="145"/>
      <c r="AP3047" s="145"/>
      <c r="AQ3047" s="145"/>
    </row>
    <row r="3048" spans="37:43">
      <c r="AK3048" s="145"/>
      <c r="AL3048" s="145"/>
      <c r="AM3048" s="145"/>
      <c r="AN3048" s="145"/>
      <c r="AO3048" s="145"/>
      <c r="AP3048" s="145"/>
      <c r="AQ3048" s="145"/>
    </row>
    <row r="3049" spans="37:43">
      <c r="AK3049" s="145"/>
      <c r="AL3049" s="145"/>
      <c r="AM3049" s="145"/>
      <c r="AN3049" s="145"/>
      <c r="AO3049" s="145"/>
      <c r="AP3049" s="145"/>
      <c r="AQ3049" s="145"/>
    </row>
    <row r="3050" spans="37:43">
      <c r="AK3050" s="145"/>
      <c r="AL3050" s="145"/>
      <c r="AM3050" s="145"/>
      <c r="AN3050" s="145"/>
      <c r="AO3050" s="145"/>
      <c r="AP3050" s="145"/>
      <c r="AQ3050" s="145"/>
    </row>
    <row r="3051" spans="37:43">
      <c r="AK3051" s="145"/>
      <c r="AL3051" s="145"/>
      <c r="AM3051" s="145"/>
      <c r="AN3051" s="145"/>
      <c r="AO3051" s="145"/>
      <c r="AP3051" s="145"/>
      <c r="AQ3051" s="145"/>
    </row>
    <row r="3052" spans="37:43">
      <c r="AK3052" s="145"/>
      <c r="AL3052" s="145"/>
      <c r="AM3052" s="145"/>
      <c r="AN3052" s="145"/>
      <c r="AO3052" s="145"/>
      <c r="AP3052" s="145"/>
      <c r="AQ3052" s="145"/>
    </row>
    <row r="3053" spans="37:43">
      <c r="AK3053" s="145"/>
      <c r="AL3053" s="145"/>
      <c r="AM3053" s="145"/>
      <c r="AN3053" s="145"/>
      <c r="AO3053" s="145"/>
      <c r="AP3053" s="145"/>
      <c r="AQ3053" s="145"/>
    </row>
    <row r="3054" spans="37:43">
      <c r="AK3054" s="145"/>
      <c r="AL3054" s="145"/>
      <c r="AM3054" s="145"/>
      <c r="AN3054" s="145"/>
      <c r="AO3054" s="145"/>
      <c r="AP3054" s="145"/>
      <c r="AQ3054" s="145"/>
    </row>
    <row r="3055" spans="37:43">
      <c r="AK3055" s="145"/>
      <c r="AL3055" s="145"/>
      <c r="AM3055" s="145"/>
      <c r="AN3055" s="145"/>
      <c r="AO3055" s="145"/>
      <c r="AP3055" s="145"/>
      <c r="AQ3055" s="145"/>
    </row>
    <row r="3056" spans="37:43">
      <c r="AK3056" s="145"/>
      <c r="AL3056" s="145"/>
      <c r="AM3056" s="145"/>
      <c r="AN3056" s="145"/>
      <c r="AO3056" s="145"/>
      <c r="AP3056" s="145"/>
      <c r="AQ3056" s="145"/>
    </row>
    <row r="3057" spans="37:43">
      <c r="AK3057" s="145"/>
      <c r="AL3057" s="145"/>
      <c r="AM3057" s="145"/>
      <c r="AN3057" s="145"/>
      <c r="AO3057" s="145"/>
      <c r="AP3057" s="145"/>
      <c r="AQ3057" s="145"/>
    </row>
    <row r="3058" spans="37:43">
      <c r="AK3058" s="145"/>
      <c r="AL3058" s="145"/>
      <c r="AM3058" s="145"/>
      <c r="AN3058" s="145"/>
      <c r="AO3058" s="145"/>
      <c r="AP3058" s="145"/>
      <c r="AQ3058" s="145"/>
    </row>
    <row r="3059" spans="37:43">
      <c r="AK3059" s="145"/>
      <c r="AL3059" s="145"/>
      <c r="AM3059" s="145"/>
      <c r="AN3059" s="145"/>
      <c r="AO3059" s="145"/>
      <c r="AP3059" s="145"/>
      <c r="AQ3059" s="145"/>
    </row>
    <row r="3060" spans="37:43">
      <c r="AK3060" s="145"/>
      <c r="AL3060" s="145"/>
      <c r="AM3060" s="145"/>
      <c r="AN3060" s="145"/>
      <c r="AO3060" s="145"/>
      <c r="AP3060" s="145"/>
      <c r="AQ3060" s="145"/>
    </row>
    <row r="3061" spans="37:43">
      <c r="AK3061" s="145"/>
      <c r="AL3061" s="145"/>
      <c r="AM3061" s="145"/>
      <c r="AN3061" s="145"/>
      <c r="AO3061" s="145"/>
      <c r="AP3061" s="145"/>
      <c r="AQ3061" s="145"/>
    </row>
    <row r="3062" spans="37:43">
      <c r="AK3062" s="145"/>
      <c r="AL3062" s="145"/>
      <c r="AM3062" s="145"/>
      <c r="AN3062" s="145"/>
      <c r="AO3062" s="145"/>
      <c r="AP3062" s="145"/>
      <c r="AQ3062" s="145"/>
    </row>
    <row r="3063" spans="37:43">
      <c r="AK3063" s="145"/>
      <c r="AL3063" s="145"/>
      <c r="AM3063" s="145"/>
      <c r="AN3063" s="145"/>
      <c r="AO3063" s="145"/>
      <c r="AP3063" s="145"/>
      <c r="AQ3063" s="145"/>
    </row>
    <row r="3064" spans="37:43">
      <c r="AK3064" s="145"/>
      <c r="AL3064" s="145"/>
      <c r="AM3064" s="145"/>
      <c r="AN3064" s="145"/>
      <c r="AO3064" s="145"/>
      <c r="AP3064" s="145"/>
      <c r="AQ3064" s="145"/>
    </row>
    <row r="3065" spans="37:43">
      <c r="AK3065" s="145"/>
      <c r="AL3065" s="145"/>
      <c r="AM3065" s="145"/>
      <c r="AN3065" s="145"/>
      <c r="AO3065" s="145"/>
      <c r="AP3065" s="145"/>
      <c r="AQ3065" s="145"/>
    </row>
    <row r="3066" spans="37:43">
      <c r="AK3066" s="145"/>
      <c r="AL3066" s="145"/>
      <c r="AM3066" s="145"/>
      <c r="AN3066" s="145"/>
      <c r="AO3066" s="145"/>
      <c r="AP3066" s="145"/>
      <c r="AQ3066" s="145"/>
    </row>
    <row r="3067" spans="37:43">
      <c r="AK3067" s="145"/>
      <c r="AL3067" s="145"/>
      <c r="AM3067" s="145"/>
      <c r="AN3067" s="145"/>
      <c r="AO3067" s="145"/>
      <c r="AP3067" s="145"/>
      <c r="AQ3067" s="145"/>
    </row>
    <row r="3068" spans="37:43">
      <c r="AK3068" s="145"/>
      <c r="AL3068" s="145"/>
      <c r="AM3068" s="145"/>
      <c r="AN3068" s="145"/>
      <c r="AO3068" s="145"/>
      <c r="AP3068" s="145"/>
      <c r="AQ3068" s="145"/>
    </row>
    <row r="3069" spans="37:43">
      <c r="AK3069" s="145"/>
      <c r="AL3069" s="145"/>
      <c r="AM3069" s="145"/>
      <c r="AN3069" s="145"/>
      <c r="AO3069" s="145"/>
      <c r="AP3069" s="145"/>
      <c r="AQ3069" s="145"/>
    </row>
    <row r="3070" spans="37:43">
      <c r="AK3070" s="145"/>
      <c r="AL3070" s="145"/>
      <c r="AM3070" s="145"/>
      <c r="AN3070" s="145"/>
      <c r="AO3070" s="145"/>
      <c r="AP3070" s="145"/>
      <c r="AQ3070" s="145"/>
    </row>
    <row r="3071" spans="37:43">
      <c r="AK3071" s="145"/>
      <c r="AL3071" s="145"/>
      <c r="AM3071" s="145"/>
      <c r="AN3071" s="145"/>
      <c r="AO3071" s="145"/>
      <c r="AP3071" s="145"/>
      <c r="AQ3071" s="145"/>
    </row>
    <row r="3072" spans="37:43">
      <c r="AK3072" s="145"/>
      <c r="AL3072" s="145"/>
      <c r="AM3072" s="145"/>
      <c r="AN3072" s="145"/>
      <c r="AO3072" s="145"/>
      <c r="AP3072" s="145"/>
      <c r="AQ3072" s="145"/>
    </row>
    <row r="3073" spans="37:43">
      <c r="AK3073" s="145"/>
      <c r="AL3073" s="145"/>
      <c r="AM3073" s="145"/>
      <c r="AN3073" s="145"/>
      <c r="AO3073" s="145"/>
      <c r="AP3073" s="145"/>
      <c r="AQ3073" s="145"/>
    </row>
    <row r="3074" spans="37:43">
      <c r="AK3074" s="145"/>
      <c r="AL3074" s="145"/>
      <c r="AM3074" s="145"/>
      <c r="AN3074" s="145"/>
      <c r="AO3074" s="145"/>
      <c r="AP3074" s="145"/>
      <c r="AQ3074" s="145"/>
    </row>
    <row r="3075" spans="37:43">
      <c r="AK3075" s="145"/>
      <c r="AL3075" s="145"/>
      <c r="AM3075" s="145"/>
      <c r="AN3075" s="145"/>
      <c r="AO3075" s="145"/>
      <c r="AP3075" s="145"/>
      <c r="AQ3075" s="145"/>
    </row>
    <row r="3076" spans="37:43">
      <c r="AK3076" s="145"/>
      <c r="AL3076" s="145"/>
      <c r="AM3076" s="145"/>
      <c r="AN3076" s="145"/>
      <c r="AO3076" s="145"/>
      <c r="AP3076" s="145"/>
      <c r="AQ3076" s="145"/>
    </row>
    <row r="3077" spans="37:43">
      <c r="AK3077" s="145"/>
      <c r="AL3077" s="145"/>
      <c r="AM3077" s="145"/>
      <c r="AN3077" s="145"/>
      <c r="AO3077" s="145"/>
      <c r="AP3077" s="145"/>
      <c r="AQ3077" s="145"/>
    </row>
    <row r="3078" spans="37:43">
      <c r="AK3078" s="145"/>
      <c r="AL3078" s="145"/>
      <c r="AM3078" s="145"/>
      <c r="AN3078" s="145"/>
      <c r="AO3078" s="145"/>
      <c r="AP3078" s="145"/>
      <c r="AQ3078" s="145"/>
    </row>
    <row r="3079" spans="37:43">
      <c r="AK3079" s="145"/>
      <c r="AL3079" s="145"/>
      <c r="AM3079" s="145"/>
      <c r="AN3079" s="145"/>
      <c r="AO3079" s="145"/>
      <c r="AP3079" s="145"/>
      <c r="AQ3079" s="145"/>
    </row>
    <row r="3080" spans="37:43">
      <c r="AK3080" s="145"/>
      <c r="AL3080" s="145"/>
      <c r="AM3080" s="145"/>
      <c r="AN3080" s="145"/>
      <c r="AO3080" s="145"/>
      <c r="AP3080" s="145"/>
      <c r="AQ3080" s="145"/>
    </row>
    <row r="3081" spans="37:43">
      <c r="AK3081" s="145"/>
      <c r="AL3081" s="145"/>
      <c r="AM3081" s="145"/>
      <c r="AN3081" s="145"/>
      <c r="AO3081" s="145"/>
      <c r="AP3081" s="145"/>
      <c r="AQ3081" s="145"/>
    </row>
    <row r="3082" spans="37:43">
      <c r="AK3082" s="145"/>
      <c r="AL3082" s="145"/>
      <c r="AM3082" s="145"/>
      <c r="AN3082" s="145"/>
      <c r="AO3082" s="145"/>
      <c r="AP3082" s="145"/>
      <c r="AQ3082" s="145"/>
    </row>
    <row r="3083" spans="37:43">
      <c r="AK3083" s="145"/>
      <c r="AL3083" s="145"/>
      <c r="AM3083" s="145"/>
      <c r="AN3083" s="145"/>
      <c r="AO3083" s="145"/>
      <c r="AP3083" s="145"/>
      <c r="AQ3083" s="145"/>
    </row>
    <row r="3084" spans="37:43">
      <c r="AK3084" s="145"/>
      <c r="AL3084" s="145"/>
      <c r="AM3084" s="145"/>
      <c r="AN3084" s="145"/>
      <c r="AO3084" s="145"/>
      <c r="AP3084" s="145"/>
      <c r="AQ3084" s="145"/>
    </row>
    <row r="3085" spans="37:43">
      <c r="AK3085" s="145"/>
      <c r="AL3085" s="145"/>
      <c r="AM3085" s="145"/>
      <c r="AN3085" s="145"/>
      <c r="AO3085" s="145"/>
      <c r="AP3085" s="145"/>
      <c r="AQ3085" s="145"/>
    </row>
    <row r="3086" spans="37:43">
      <c r="AK3086" s="145"/>
      <c r="AL3086" s="145"/>
      <c r="AM3086" s="145"/>
      <c r="AN3086" s="145"/>
      <c r="AO3086" s="145"/>
      <c r="AP3086" s="145"/>
      <c r="AQ3086" s="145"/>
    </row>
    <row r="3087" spans="37:43">
      <c r="AK3087" s="145"/>
      <c r="AL3087" s="145"/>
      <c r="AM3087" s="145"/>
      <c r="AN3087" s="145"/>
      <c r="AO3087" s="145"/>
      <c r="AP3087" s="145"/>
      <c r="AQ3087" s="145"/>
    </row>
    <row r="3088" spans="37:43">
      <c r="AK3088" s="145"/>
      <c r="AL3088" s="145"/>
      <c r="AM3088" s="145"/>
      <c r="AN3088" s="145"/>
      <c r="AO3088" s="145"/>
      <c r="AP3088" s="145"/>
      <c r="AQ3088" s="145"/>
    </row>
    <row r="3089" spans="37:43">
      <c r="AK3089" s="145"/>
      <c r="AL3089" s="145"/>
      <c r="AM3089" s="145"/>
      <c r="AN3089" s="145"/>
      <c r="AO3089" s="145"/>
      <c r="AP3089" s="145"/>
      <c r="AQ3089" s="145"/>
    </row>
    <row r="3090" spans="37:43">
      <c r="AK3090" s="145"/>
      <c r="AL3090" s="145"/>
      <c r="AM3090" s="145"/>
      <c r="AN3090" s="145"/>
      <c r="AO3090" s="145"/>
      <c r="AP3090" s="145"/>
      <c r="AQ3090" s="145"/>
    </row>
    <row r="3091" spans="37:43">
      <c r="AK3091" s="145"/>
      <c r="AL3091" s="145"/>
      <c r="AM3091" s="145"/>
      <c r="AN3091" s="145"/>
      <c r="AO3091" s="145"/>
      <c r="AP3091" s="145"/>
      <c r="AQ3091" s="145"/>
    </row>
    <row r="3092" spans="37:43">
      <c r="AK3092" s="145"/>
      <c r="AL3092" s="145"/>
      <c r="AM3092" s="145"/>
      <c r="AN3092" s="145"/>
      <c r="AO3092" s="145"/>
      <c r="AP3092" s="145"/>
      <c r="AQ3092" s="145"/>
    </row>
    <row r="3093" spans="37:43">
      <c r="AK3093" s="145"/>
      <c r="AL3093" s="145"/>
      <c r="AM3093" s="145"/>
      <c r="AN3093" s="145"/>
      <c r="AO3093" s="145"/>
      <c r="AP3093" s="145"/>
      <c r="AQ3093" s="145"/>
    </row>
    <row r="3094" spans="37:43">
      <c r="AK3094" s="145"/>
      <c r="AL3094" s="145"/>
      <c r="AM3094" s="145"/>
      <c r="AN3094" s="145"/>
      <c r="AO3094" s="145"/>
      <c r="AP3094" s="145"/>
      <c r="AQ3094" s="145"/>
    </row>
    <row r="3095" spans="37:43">
      <c r="AK3095" s="145"/>
      <c r="AL3095" s="145"/>
      <c r="AM3095" s="145"/>
      <c r="AN3095" s="145"/>
      <c r="AO3095" s="145"/>
      <c r="AP3095" s="145"/>
      <c r="AQ3095" s="145"/>
    </row>
    <row r="3096" spans="37:43">
      <c r="AK3096" s="145"/>
      <c r="AL3096" s="145"/>
      <c r="AM3096" s="145"/>
      <c r="AN3096" s="145"/>
      <c r="AO3096" s="145"/>
      <c r="AP3096" s="145"/>
      <c r="AQ3096" s="145"/>
    </row>
    <row r="3097" spans="37:43">
      <c r="AK3097" s="145"/>
      <c r="AL3097" s="145"/>
      <c r="AM3097" s="145"/>
      <c r="AN3097" s="145"/>
      <c r="AO3097" s="145"/>
      <c r="AP3097" s="145"/>
      <c r="AQ3097" s="145"/>
    </row>
    <row r="3098" spans="37:43">
      <c r="AK3098" s="145"/>
      <c r="AL3098" s="145"/>
      <c r="AM3098" s="145"/>
      <c r="AN3098" s="145"/>
      <c r="AO3098" s="145"/>
      <c r="AP3098" s="145"/>
      <c r="AQ3098" s="145"/>
    </row>
    <row r="3099" spans="37:43">
      <c r="AK3099" s="145"/>
      <c r="AL3099" s="145"/>
      <c r="AM3099" s="145"/>
      <c r="AN3099" s="145"/>
      <c r="AO3099" s="145"/>
      <c r="AP3099" s="145"/>
      <c r="AQ3099" s="145"/>
    </row>
    <row r="3100" spans="37:43">
      <c r="AK3100" s="145"/>
      <c r="AL3100" s="145"/>
      <c r="AM3100" s="145"/>
      <c r="AN3100" s="145"/>
      <c r="AO3100" s="145"/>
      <c r="AP3100" s="145"/>
      <c r="AQ3100" s="145"/>
    </row>
    <row r="3101" spans="37:43">
      <c r="AK3101" s="145"/>
      <c r="AL3101" s="145"/>
      <c r="AM3101" s="145"/>
      <c r="AN3101" s="145"/>
      <c r="AO3101" s="145"/>
      <c r="AP3101" s="145"/>
      <c r="AQ3101" s="145"/>
    </row>
    <row r="3102" spans="37:43">
      <c r="AK3102" s="145"/>
      <c r="AL3102" s="145"/>
      <c r="AM3102" s="145"/>
      <c r="AN3102" s="145"/>
      <c r="AO3102" s="145"/>
      <c r="AP3102" s="145"/>
      <c r="AQ3102" s="145"/>
    </row>
    <row r="3103" spans="37:43">
      <c r="AK3103" s="145"/>
      <c r="AL3103" s="145"/>
      <c r="AM3103" s="145"/>
      <c r="AN3103" s="145"/>
      <c r="AO3103" s="145"/>
      <c r="AP3103" s="145"/>
      <c r="AQ3103" s="145"/>
    </row>
    <row r="3104" spans="37:43">
      <c r="AK3104" s="145"/>
      <c r="AL3104" s="145"/>
      <c r="AM3104" s="145"/>
      <c r="AN3104" s="145"/>
      <c r="AO3104" s="145"/>
      <c r="AP3104" s="145"/>
      <c r="AQ3104" s="145"/>
    </row>
    <row r="3105" spans="37:43">
      <c r="AK3105" s="145"/>
      <c r="AL3105" s="145"/>
      <c r="AM3105" s="145"/>
      <c r="AN3105" s="145"/>
      <c r="AO3105" s="145"/>
      <c r="AP3105" s="145"/>
      <c r="AQ3105" s="145"/>
    </row>
    <row r="3106" spans="37:43">
      <c r="AK3106" s="145"/>
      <c r="AL3106" s="145"/>
      <c r="AM3106" s="145"/>
      <c r="AN3106" s="145"/>
      <c r="AO3106" s="145"/>
      <c r="AP3106" s="145"/>
      <c r="AQ3106" s="145"/>
    </row>
    <row r="3107" spans="37:43">
      <c r="AK3107" s="145"/>
      <c r="AL3107" s="145"/>
      <c r="AM3107" s="145"/>
      <c r="AN3107" s="145"/>
      <c r="AO3107" s="145"/>
      <c r="AP3107" s="145"/>
      <c r="AQ3107" s="145"/>
    </row>
    <row r="3108" spans="37:43">
      <c r="AK3108" s="145"/>
      <c r="AL3108" s="145"/>
      <c r="AM3108" s="145"/>
      <c r="AN3108" s="145"/>
      <c r="AO3108" s="145"/>
      <c r="AP3108" s="145"/>
      <c r="AQ3108" s="145"/>
    </row>
    <row r="3109" spans="37:43">
      <c r="AK3109" s="145"/>
      <c r="AL3109" s="145"/>
      <c r="AM3109" s="145"/>
      <c r="AN3109" s="145"/>
      <c r="AO3109" s="145"/>
      <c r="AP3109" s="145"/>
      <c r="AQ3109" s="145"/>
    </row>
    <row r="3110" spans="37:43">
      <c r="AK3110" s="145"/>
      <c r="AL3110" s="145"/>
      <c r="AM3110" s="145"/>
      <c r="AN3110" s="145"/>
      <c r="AO3110" s="145"/>
      <c r="AP3110" s="145"/>
      <c r="AQ3110" s="145"/>
    </row>
    <row r="3111" spans="37:43">
      <c r="AK3111" s="145"/>
      <c r="AL3111" s="145"/>
      <c r="AM3111" s="145"/>
      <c r="AN3111" s="145"/>
      <c r="AO3111" s="145"/>
      <c r="AP3111" s="145"/>
      <c r="AQ3111" s="145"/>
    </row>
    <row r="3112" spans="37:43">
      <c r="AK3112" s="145"/>
      <c r="AL3112" s="145"/>
      <c r="AM3112" s="145"/>
      <c r="AN3112" s="145"/>
      <c r="AO3112" s="145"/>
      <c r="AP3112" s="145"/>
      <c r="AQ3112" s="145"/>
    </row>
    <row r="3113" spans="37:43">
      <c r="AK3113" s="145"/>
      <c r="AL3113" s="145"/>
      <c r="AM3113" s="145"/>
      <c r="AN3113" s="145"/>
      <c r="AO3113" s="145"/>
      <c r="AP3113" s="145"/>
      <c r="AQ3113" s="145"/>
    </row>
    <row r="3114" spans="37:43">
      <c r="AK3114" s="145"/>
      <c r="AL3114" s="145"/>
      <c r="AM3114" s="145"/>
      <c r="AN3114" s="145"/>
      <c r="AO3114" s="145"/>
      <c r="AP3114" s="145"/>
      <c r="AQ3114" s="145"/>
    </row>
    <row r="3115" spans="37:43">
      <c r="AK3115" s="145"/>
      <c r="AL3115" s="145"/>
      <c r="AM3115" s="145"/>
      <c r="AN3115" s="145"/>
      <c r="AO3115" s="145"/>
      <c r="AP3115" s="145"/>
      <c r="AQ3115" s="145"/>
    </row>
    <row r="3116" spans="37:43">
      <c r="AK3116" s="145"/>
      <c r="AL3116" s="145"/>
      <c r="AM3116" s="145"/>
      <c r="AN3116" s="145"/>
      <c r="AO3116" s="145"/>
      <c r="AP3116" s="145"/>
      <c r="AQ3116" s="145"/>
    </row>
    <row r="3117" spans="37:43">
      <c r="AK3117" s="145"/>
      <c r="AL3117" s="145"/>
      <c r="AM3117" s="145"/>
      <c r="AN3117" s="145"/>
      <c r="AO3117" s="145"/>
      <c r="AP3117" s="145"/>
      <c r="AQ3117" s="145"/>
    </row>
    <row r="3118" spans="37:43">
      <c r="AK3118" s="145"/>
      <c r="AL3118" s="145"/>
      <c r="AM3118" s="145"/>
      <c r="AN3118" s="145"/>
      <c r="AO3118" s="145"/>
      <c r="AP3118" s="145"/>
      <c r="AQ3118" s="145"/>
    </row>
    <row r="3119" spans="37:43">
      <c r="AK3119" s="145"/>
      <c r="AL3119" s="145"/>
      <c r="AM3119" s="145"/>
      <c r="AN3119" s="145"/>
      <c r="AO3119" s="145"/>
      <c r="AP3119" s="145"/>
      <c r="AQ3119" s="145"/>
    </row>
    <row r="3120" spans="37:43">
      <c r="AK3120" s="145"/>
      <c r="AL3120" s="145"/>
      <c r="AM3120" s="145"/>
      <c r="AN3120" s="145"/>
      <c r="AO3120" s="145"/>
      <c r="AP3120" s="145"/>
      <c r="AQ3120" s="145"/>
    </row>
    <row r="3121" spans="37:43">
      <c r="AK3121" s="145"/>
      <c r="AL3121" s="145"/>
      <c r="AM3121" s="145"/>
      <c r="AN3121" s="145"/>
      <c r="AO3121" s="145"/>
      <c r="AP3121" s="145"/>
      <c r="AQ3121" s="145"/>
    </row>
    <row r="3122" spans="37:43">
      <c r="AK3122" s="145"/>
      <c r="AL3122" s="145"/>
      <c r="AM3122" s="145"/>
      <c r="AN3122" s="145"/>
      <c r="AO3122" s="145"/>
      <c r="AP3122" s="145"/>
      <c r="AQ3122" s="145"/>
    </row>
    <row r="3123" spans="37:43">
      <c r="AK3123" s="145"/>
      <c r="AL3123" s="145"/>
      <c r="AM3123" s="145"/>
      <c r="AN3123" s="145"/>
      <c r="AO3123" s="145"/>
      <c r="AP3123" s="145"/>
      <c r="AQ3123" s="145"/>
    </row>
    <row r="3124" spans="37:43">
      <c r="AK3124" s="145"/>
      <c r="AL3124" s="145"/>
      <c r="AM3124" s="145"/>
      <c r="AN3124" s="145"/>
      <c r="AO3124" s="145"/>
      <c r="AP3124" s="145"/>
      <c r="AQ3124" s="145"/>
    </row>
    <row r="3125" spans="37:43">
      <c r="AK3125" s="145"/>
      <c r="AL3125" s="145"/>
      <c r="AM3125" s="145"/>
      <c r="AN3125" s="145"/>
      <c r="AO3125" s="145"/>
      <c r="AP3125" s="145"/>
      <c r="AQ3125" s="145"/>
    </row>
    <row r="3126" spans="37:43">
      <c r="AK3126" s="145"/>
      <c r="AL3126" s="145"/>
      <c r="AM3126" s="145"/>
      <c r="AN3126" s="145"/>
      <c r="AO3126" s="145"/>
      <c r="AP3126" s="145"/>
      <c r="AQ3126" s="145"/>
    </row>
    <row r="3127" spans="37:43">
      <c r="AK3127" s="145"/>
      <c r="AL3127" s="145"/>
      <c r="AM3127" s="145"/>
      <c r="AN3127" s="145"/>
      <c r="AO3127" s="145"/>
      <c r="AP3127" s="145"/>
      <c r="AQ3127" s="145"/>
    </row>
    <row r="3128" spans="37:43">
      <c r="AK3128" s="145"/>
      <c r="AL3128" s="145"/>
      <c r="AM3128" s="145"/>
      <c r="AN3128" s="145"/>
      <c r="AO3128" s="145"/>
      <c r="AP3128" s="145"/>
      <c r="AQ3128" s="145"/>
    </row>
    <row r="3129" spans="37:43">
      <c r="AK3129" s="145"/>
      <c r="AL3129" s="145"/>
      <c r="AM3129" s="145"/>
      <c r="AN3129" s="145"/>
      <c r="AO3129" s="145"/>
      <c r="AP3129" s="145"/>
      <c r="AQ3129" s="145"/>
    </row>
    <row r="3130" spans="37:43">
      <c r="AK3130" s="145"/>
      <c r="AL3130" s="145"/>
      <c r="AM3130" s="145"/>
      <c r="AN3130" s="145"/>
      <c r="AO3130" s="145"/>
      <c r="AP3130" s="145"/>
      <c r="AQ3130" s="145"/>
    </row>
    <row r="3131" spans="37:43">
      <c r="AK3131" s="145"/>
      <c r="AL3131" s="145"/>
      <c r="AM3131" s="145"/>
      <c r="AN3131" s="145"/>
      <c r="AO3131" s="145"/>
      <c r="AP3131" s="145"/>
      <c r="AQ3131" s="145"/>
    </row>
    <row r="3132" spans="37:43">
      <c r="AK3132" s="145"/>
      <c r="AL3132" s="145"/>
      <c r="AM3132" s="145"/>
      <c r="AN3132" s="145"/>
      <c r="AO3132" s="145"/>
      <c r="AP3132" s="145"/>
      <c r="AQ3132" s="145"/>
    </row>
    <row r="3133" spans="37:43">
      <c r="AK3133" s="145"/>
      <c r="AL3133" s="145"/>
      <c r="AM3133" s="145"/>
      <c r="AN3133" s="145"/>
      <c r="AO3133" s="145"/>
      <c r="AP3133" s="145"/>
      <c r="AQ3133" s="145"/>
    </row>
    <row r="3134" spans="37:43">
      <c r="AK3134" s="145"/>
      <c r="AL3134" s="145"/>
      <c r="AM3134" s="145"/>
      <c r="AN3134" s="145"/>
      <c r="AO3134" s="145"/>
      <c r="AP3134" s="145"/>
      <c r="AQ3134" s="145"/>
    </row>
    <row r="3135" spans="37:43">
      <c r="AK3135" s="145"/>
      <c r="AL3135" s="145"/>
      <c r="AM3135" s="145"/>
      <c r="AN3135" s="145"/>
      <c r="AO3135" s="145"/>
      <c r="AP3135" s="145"/>
      <c r="AQ3135" s="145"/>
    </row>
    <row r="3136" spans="37:43">
      <c r="AK3136" s="145"/>
      <c r="AL3136" s="145"/>
      <c r="AM3136" s="145"/>
      <c r="AN3136" s="145"/>
      <c r="AO3136" s="145"/>
      <c r="AP3136" s="145"/>
      <c r="AQ3136" s="145"/>
    </row>
    <row r="3137" spans="37:43">
      <c r="AK3137" s="145"/>
      <c r="AL3137" s="145"/>
      <c r="AM3137" s="145"/>
      <c r="AN3137" s="145"/>
      <c r="AO3137" s="145"/>
      <c r="AP3137" s="145"/>
      <c r="AQ3137" s="145"/>
    </row>
    <row r="3138" spans="37:43">
      <c r="AK3138" s="145"/>
      <c r="AL3138" s="145"/>
      <c r="AM3138" s="145"/>
      <c r="AN3138" s="145"/>
      <c r="AO3138" s="145"/>
      <c r="AP3138" s="145"/>
      <c r="AQ3138" s="145"/>
    </row>
    <row r="3139" spans="37:43">
      <c r="AK3139" s="145"/>
      <c r="AL3139" s="145"/>
      <c r="AM3139" s="145"/>
      <c r="AN3139" s="145"/>
      <c r="AO3139" s="145"/>
      <c r="AP3139" s="145"/>
      <c r="AQ3139" s="145"/>
    </row>
    <row r="3140" spans="37:43">
      <c r="AK3140" s="145"/>
      <c r="AL3140" s="145"/>
      <c r="AM3140" s="145"/>
      <c r="AN3140" s="145"/>
      <c r="AO3140" s="145"/>
      <c r="AP3140" s="145"/>
      <c r="AQ3140" s="145"/>
    </row>
    <row r="3141" spans="37:43">
      <c r="AK3141" s="145"/>
      <c r="AL3141" s="145"/>
      <c r="AM3141" s="145"/>
      <c r="AN3141" s="145"/>
      <c r="AO3141" s="145"/>
      <c r="AP3141" s="145"/>
      <c r="AQ3141" s="145"/>
    </row>
    <row r="3142" spans="37:43">
      <c r="AK3142" s="145"/>
      <c r="AL3142" s="145"/>
      <c r="AM3142" s="145"/>
      <c r="AN3142" s="145"/>
      <c r="AO3142" s="145"/>
      <c r="AP3142" s="145"/>
      <c r="AQ3142" s="145"/>
    </row>
    <row r="3143" spans="37:43">
      <c r="AK3143" s="145"/>
      <c r="AL3143" s="145"/>
      <c r="AM3143" s="145"/>
      <c r="AN3143" s="145"/>
      <c r="AO3143" s="145"/>
      <c r="AP3143" s="145"/>
      <c r="AQ3143" s="145"/>
    </row>
    <row r="3144" spans="37:43">
      <c r="AK3144" s="145"/>
      <c r="AL3144" s="145"/>
      <c r="AM3144" s="145"/>
      <c r="AN3144" s="145"/>
      <c r="AO3144" s="145"/>
      <c r="AP3144" s="145"/>
      <c r="AQ3144" s="145"/>
    </row>
    <row r="3145" spans="37:43">
      <c r="AK3145" s="145"/>
      <c r="AL3145" s="145"/>
      <c r="AM3145" s="145"/>
      <c r="AN3145" s="145"/>
      <c r="AO3145" s="145"/>
      <c r="AP3145" s="145"/>
      <c r="AQ3145" s="145"/>
    </row>
    <row r="3146" spans="37:43">
      <c r="AK3146" s="145"/>
      <c r="AL3146" s="145"/>
      <c r="AM3146" s="145"/>
      <c r="AN3146" s="145"/>
      <c r="AO3146" s="145"/>
      <c r="AP3146" s="145"/>
      <c r="AQ3146" s="145"/>
    </row>
    <row r="3147" spans="37:43">
      <c r="AK3147" s="145"/>
      <c r="AL3147" s="145"/>
      <c r="AM3147" s="145"/>
      <c r="AN3147" s="145"/>
      <c r="AO3147" s="145"/>
      <c r="AP3147" s="145"/>
      <c r="AQ3147" s="145"/>
    </row>
    <row r="3148" spans="37:43">
      <c r="AK3148" s="145"/>
      <c r="AL3148" s="145"/>
      <c r="AM3148" s="145"/>
      <c r="AN3148" s="145"/>
      <c r="AO3148" s="145"/>
      <c r="AP3148" s="145"/>
      <c r="AQ3148" s="145"/>
    </row>
    <row r="3149" spans="37:43">
      <c r="AK3149" s="145"/>
      <c r="AL3149" s="145"/>
      <c r="AM3149" s="145"/>
      <c r="AN3149" s="145"/>
      <c r="AO3149" s="145"/>
      <c r="AP3149" s="145"/>
      <c r="AQ3149" s="145"/>
    </row>
    <row r="3150" spans="37:43">
      <c r="AK3150" s="145"/>
      <c r="AL3150" s="145"/>
      <c r="AM3150" s="145"/>
      <c r="AN3150" s="145"/>
      <c r="AO3150" s="145"/>
      <c r="AP3150" s="145"/>
      <c r="AQ3150" s="145"/>
    </row>
    <row r="3151" spans="37:43">
      <c r="AK3151" s="145"/>
      <c r="AL3151" s="145"/>
      <c r="AM3151" s="145"/>
      <c r="AN3151" s="145"/>
      <c r="AO3151" s="145"/>
      <c r="AP3151" s="145"/>
      <c r="AQ3151" s="145"/>
    </row>
    <row r="3152" spans="37:43">
      <c r="AK3152" s="145"/>
      <c r="AL3152" s="145"/>
      <c r="AM3152" s="145"/>
      <c r="AN3152" s="145"/>
      <c r="AO3152" s="145"/>
      <c r="AP3152" s="145"/>
      <c r="AQ3152" s="145"/>
    </row>
    <row r="3153" spans="37:43">
      <c r="AK3153" s="145"/>
      <c r="AL3153" s="145"/>
      <c r="AM3153" s="145"/>
      <c r="AN3153" s="145"/>
      <c r="AO3153" s="145"/>
      <c r="AP3153" s="145"/>
      <c r="AQ3153" s="145"/>
    </row>
    <row r="3154" spans="37:43">
      <c r="AK3154" s="145"/>
      <c r="AL3154" s="145"/>
      <c r="AM3154" s="145"/>
      <c r="AN3154" s="145"/>
      <c r="AO3154" s="145"/>
      <c r="AP3154" s="145"/>
      <c r="AQ3154" s="145"/>
    </row>
    <row r="3155" spans="37:43">
      <c r="AK3155" s="145"/>
      <c r="AL3155" s="145"/>
      <c r="AM3155" s="145"/>
      <c r="AN3155" s="145"/>
      <c r="AO3155" s="145"/>
      <c r="AP3155" s="145"/>
      <c r="AQ3155" s="145"/>
    </row>
    <row r="3156" spans="37:43">
      <c r="AK3156" s="145"/>
      <c r="AL3156" s="145"/>
      <c r="AM3156" s="145"/>
      <c r="AN3156" s="145"/>
      <c r="AO3156" s="145"/>
      <c r="AP3156" s="145"/>
      <c r="AQ3156" s="145"/>
    </row>
    <row r="3157" spans="37:43">
      <c r="AK3157" s="145"/>
      <c r="AL3157" s="145"/>
      <c r="AM3157" s="145"/>
      <c r="AN3157" s="145"/>
      <c r="AO3157" s="145"/>
      <c r="AP3157" s="145"/>
      <c r="AQ3157" s="145"/>
    </row>
    <row r="3158" spans="37:43">
      <c r="AK3158" s="145"/>
      <c r="AL3158" s="145"/>
      <c r="AM3158" s="145"/>
      <c r="AN3158" s="145"/>
      <c r="AO3158" s="145"/>
      <c r="AP3158" s="145"/>
      <c r="AQ3158" s="145"/>
    </row>
    <row r="3159" spans="37:43">
      <c r="AK3159" s="145"/>
      <c r="AL3159" s="145"/>
      <c r="AM3159" s="145"/>
      <c r="AN3159" s="145"/>
      <c r="AO3159" s="145"/>
      <c r="AP3159" s="145"/>
      <c r="AQ3159" s="145"/>
    </row>
    <row r="3160" spans="37:43">
      <c r="AK3160" s="145"/>
      <c r="AL3160" s="145"/>
      <c r="AM3160" s="145"/>
      <c r="AN3160" s="145"/>
      <c r="AO3160" s="145"/>
      <c r="AP3160" s="145"/>
      <c r="AQ3160" s="145"/>
    </row>
    <row r="3161" spans="37:43">
      <c r="AK3161" s="145"/>
      <c r="AL3161" s="145"/>
      <c r="AM3161" s="145"/>
      <c r="AN3161" s="145"/>
      <c r="AO3161" s="145"/>
      <c r="AP3161" s="145"/>
      <c r="AQ3161" s="145"/>
    </row>
    <row r="3162" spans="37:43">
      <c r="AK3162" s="145"/>
      <c r="AL3162" s="145"/>
      <c r="AM3162" s="145"/>
      <c r="AN3162" s="145"/>
      <c r="AO3162" s="145"/>
      <c r="AP3162" s="145"/>
      <c r="AQ3162" s="145"/>
    </row>
    <row r="3163" spans="37:43">
      <c r="AK3163" s="145"/>
      <c r="AL3163" s="145"/>
      <c r="AM3163" s="145"/>
      <c r="AN3163" s="145"/>
      <c r="AO3163" s="145"/>
      <c r="AP3163" s="145"/>
      <c r="AQ3163" s="145"/>
    </row>
    <row r="3164" spans="37:43">
      <c r="AK3164" s="145"/>
      <c r="AL3164" s="145"/>
      <c r="AM3164" s="145"/>
      <c r="AN3164" s="145"/>
      <c r="AO3164" s="145"/>
      <c r="AP3164" s="145"/>
      <c r="AQ3164" s="145"/>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5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B7B7"/>
    <pageSetUpPr fitToPage="1"/>
  </sheetPr>
  <dimension ref="A1:BV139"/>
  <sheetViews>
    <sheetView view="pageBreakPreview" topLeftCell="A31" zoomScaleNormal="100" zoomScaleSheetLayoutView="100" workbookViewId="0">
      <pane xSplit="1" topLeftCell="B1" activePane="topRight" state="frozen"/>
      <selection pane="topRight" activeCell="AS23" sqref="AS23"/>
    </sheetView>
  </sheetViews>
  <sheetFormatPr defaultColWidth="8.7109375" defaultRowHeight="13.5" customHeight="1" outlineLevelCol="1"/>
  <cols>
    <col min="1" max="2" width="50" style="11" customWidth="1"/>
    <col min="3" max="3" width="1.7109375" style="11" hidden="1" customWidth="1"/>
    <col min="4" max="28" width="12.7109375" style="11" hidden="1" customWidth="1" outlineLevel="1"/>
    <col min="29" max="30" width="12.7109375" style="19" hidden="1" customWidth="1" outlineLevel="1"/>
    <col min="31" max="33" width="12.7109375" style="11" hidden="1" customWidth="1" outlineLevel="1"/>
    <col min="34" max="35" width="12.7109375" style="19" hidden="1" customWidth="1" outlineLevel="1"/>
    <col min="36" max="36" width="12.7109375" style="19" customWidth="1" collapsed="1"/>
    <col min="37" max="43" width="12.7109375" style="19" customWidth="1"/>
    <col min="44" max="74" width="8.7109375" style="145"/>
    <col min="75" max="16384" width="8.7109375" style="19"/>
  </cols>
  <sheetData>
    <row r="1" spans="1:74" ht="30" customHeight="1">
      <c r="A1" s="660" t="s">
        <v>44</v>
      </c>
      <c r="B1" s="660" t="s">
        <v>181</v>
      </c>
      <c r="C1" s="660"/>
      <c r="D1" s="10"/>
      <c r="E1" s="10"/>
      <c r="F1" s="10"/>
      <c r="G1" s="10"/>
      <c r="H1" s="10"/>
      <c r="I1" s="10"/>
      <c r="J1" s="10"/>
      <c r="K1" s="10"/>
      <c r="L1" s="10"/>
      <c r="M1" s="10"/>
      <c r="N1" s="10"/>
      <c r="O1" s="10"/>
      <c r="P1" s="453"/>
      <c r="Q1" s="453"/>
      <c r="R1" s="453"/>
      <c r="S1" s="453"/>
      <c r="T1" s="453"/>
      <c r="U1" s="453"/>
      <c r="V1" s="453"/>
      <c r="W1" s="391"/>
      <c r="X1" s="391"/>
      <c r="Y1" s="10"/>
      <c r="Z1" s="10"/>
      <c r="AA1" s="10"/>
      <c r="AB1" s="10"/>
      <c r="AC1" s="5"/>
      <c r="AD1" s="5"/>
      <c r="AE1" s="10"/>
      <c r="AF1" s="10"/>
      <c r="AG1" s="10"/>
      <c r="AH1" s="5"/>
      <c r="AI1" s="5"/>
      <c r="AJ1" s="5"/>
      <c r="AK1" s="5"/>
      <c r="AL1" s="5"/>
      <c r="AM1" s="5"/>
      <c r="AN1" s="5"/>
      <c r="AO1" s="5"/>
      <c r="AP1" s="5"/>
      <c r="AQ1" s="392" t="s">
        <v>800</v>
      </c>
    </row>
    <row r="2" spans="1:74" ht="15">
      <c r="A2" s="660"/>
      <c r="B2" s="660"/>
      <c r="C2" s="660"/>
      <c r="D2" s="10"/>
      <c r="E2" s="10"/>
      <c r="F2" s="10"/>
      <c r="G2" s="10"/>
      <c r="H2" s="10"/>
      <c r="I2" s="10"/>
      <c r="J2" s="10"/>
      <c r="K2" s="10"/>
      <c r="L2" s="10"/>
      <c r="M2" s="10"/>
      <c r="N2" s="10"/>
      <c r="O2" s="10"/>
      <c r="P2" s="453" t="s">
        <v>108</v>
      </c>
      <c r="Q2" s="453" t="s">
        <v>108</v>
      </c>
      <c r="R2" s="453" t="s">
        <v>108</v>
      </c>
      <c r="S2" s="453" t="s">
        <v>108</v>
      </c>
      <c r="T2" s="453" t="s">
        <v>108</v>
      </c>
      <c r="U2" s="453" t="s">
        <v>108</v>
      </c>
      <c r="V2" s="453" t="s">
        <v>108</v>
      </c>
      <c r="W2" s="391"/>
      <c r="X2" s="391"/>
      <c r="Y2" s="10"/>
      <c r="Z2" s="10"/>
      <c r="AA2" s="10"/>
      <c r="AB2" s="10"/>
      <c r="AC2" s="5"/>
      <c r="AD2" s="5"/>
      <c r="AE2" s="10"/>
      <c r="AF2" s="10"/>
      <c r="AG2" s="10"/>
      <c r="AH2" s="5"/>
      <c r="AI2" s="5"/>
      <c r="AJ2" s="5"/>
      <c r="AK2" s="5"/>
      <c r="AL2" s="5"/>
      <c r="AM2" s="5"/>
      <c r="AN2" s="5"/>
      <c r="AO2" s="5"/>
      <c r="AP2" s="5"/>
      <c r="AQ2" s="392" t="s">
        <v>801</v>
      </c>
    </row>
    <row r="3" spans="1:74" ht="14.25" thickBot="1">
      <c r="A3" s="408"/>
      <c r="B3" s="408"/>
      <c r="C3" s="408"/>
      <c r="D3" s="408"/>
      <c r="E3" s="408"/>
      <c r="F3" s="408"/>
      <c r="G3" s="408"/>
      <c r="H3" s="408"/>
      <c r="I3" s="408"/>
      <c r="J3" s="408"/>
      <c r="K3" s="408"/>
      <c r="L3" s="408"/>
      <c r="M3" s="408"/>
      <c r="N3" s="408"/>
      <c r="O3" s="408"/>
      <c r="P3" s="453" t="s">
        <v>109</v>
      </c>
      <c r="Q3" s="453" t="s">
        <v>109</v>
      </c>
      <c r="R3" s="453" t="s">
        <v>109</v>
      </c>
      <c r="S3" s="453" t="s">
        <v>109</v>
      </c>
      <c r="T3" s="453" t="s">
        <v>109</v>
      </c>
      <c r="U3" s="453" t="s">
        <v>109</v>
      </c>
      <c r="V3" s="453" t="s">
        <v>109</v>
      </c>
      <c r="W3" s="391"/>
      <c r="X3" s="391"/>
      <c r="Y3" s="10"/>
      <c r="Z3" s="10"/>
      <c r="AA3" s="10"/>
      <c r="AB3" s="10"/>
      <c r="AC3" s="5"/>
      <c r="AD3" s="5"/>
      <c r="AE3" s="10"/>
      <c r="AF3" s="10"/>
      <c r="AG3" s="10"/>
      <c r="AH3" s="5"/>
      <c r="AI3" s="5"/>
      <c r="AJ3" s="5"/>
      <c r="AK3" s="5"/>
      <c r="AL3" s="7"/>
      <c r="AM3" s="5"/>
      <c r="AN3" s="5"/>
      <c r="AO3" s="5"/>
      <c r="AP3" s="5"/>
      <c r="AQ3" s="5"/>
    </row>
    <row r="4" spans="1:74" s="74" customFormat="1" ht="15.75" customHeight="1" thickBot="1">
      <c r="A4" s="343" t="s">
        <v>365</v>
      </c>
      <c r="B4" s="305" t="s">
        <v>182</v>
      </c>
      <c r="C4" s="305"/>
      <c r="D4" s="305" t="s">
        <v>24</v>
      </c>
      <c r="E4" s="305" t="s">
        <v>25</v>
      </c>
      <c r="F4" s="305" t="s">
        <v>26</v>
      </c>
      <c r="G4" s="305" t="s">
        <v>27</v>
      </c>
      <c r="H4" s="305" t="s">
        <v>28</v>
      </c>
      <c r="I4" s="305" t="s">
        <v>29</v>
      </c>
      <c r="J4" s="305" t="s">
        <v>30</v>
      </c>
      <c r="K4" s="305" t="s">
        <v>31</v>
      </c>
      <c r="L4" s="305" t="s">
        <v>32</v>
      </c>
      <c r="M4" s="305" t="s">
        <v>33</v>
      </c>
      <c r="N4" s="305" t="s">
        <v>34</v>
      </c>
      <c r="O4" s="305" t="s">
        <v>35</v>
      </c>
      <c r="P4" s="305" t="s">
        <v>36</v>
      </c>
      <c r="Q4" s="305" t="s">
        <v>37</v>
      </c>
      <c r="R4" s="305" t="s">
        <v>38</v>
      </c>
      <c r="S4" s="305" t="s">
        <v>39</v>
      </c>
      <c r="T4" s="305" t="s">
        <v>40</v>
      </c>
      <c r="U4" s="305" t="s">
        <v>41</v>
      </c>
      <c r="V4" s="305" t="s">
        <v>42</v>
      </c>
      <c r="W4" s="305" t="s">
        <v>43</v>
      </c>
      <c r="X4" s="305" t="s">
        <v>110</v>
      </c>
      <c r="Y4" s="305" t="s">
        <v>111</v>
      </c>
      <c r="Z4" s="305" t="s">
        <v>113</v>
      </c>
      <c r="AA4" s="306" t="s">
        <v>120</v>
      </c>
      <c r="AB4" s="306" t="s">
        <v>114</v>
      </c>
      <c r="AC4" s="306" t="s">
        <v>116</v>
      </c>
      <c r="AD4" s="306" t="s">
        <v>117</v>
      </c>
      <c r="AE4" s="306" t="s">
        <v>119</v>
      </c>
      <c r="AF4" s="306" t="s">
        <v>121</v>
      </c>
      <c r="AG4" s="306" t="s">
        <v>123</v>
      </c>
      <c r="AH4" s="306" t="s">
        <v>124</v>
      </c>
      <c r="AI4" s="306" t="s">
        <v>125</v>
      </c>
      <c r="AJ4" s="306" t="s">
        <v>127</v>
      </c>
      <c r="AK4" s="306" t="s">
        <v>128</v>
      </c>
      <c r="AL4" s="306" t="s">
        <v>129</v>
      </c>
      <c r="AM4" s="306" t="s">
        <v>130</v>
      </c>
      <c r="AN4" s="306" t="s">
        <v>131</v>
      </c>
      <c r="AO4" s="306" t="s">
        <v>223</v>
      </c>
      <c r="AP4" s="306" t="s">
        <v>224</v>
      </c>
      <c r="AQ4" s="344" t="s">
        <v>511</v>
      </c>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row>
    <row r="5" spans="1:74">
      <c r="A5" s="350" t="s">
        <v>45</v>
      </c>
      <c r="B5" s="739" t="s">
        <v>183</v>
      </c>
      <c r="C5" s="739"/>
      <c r="D5" s="446">
        <v>4076.826</v>
      </c>
      <c r="E5" s="446">
        <v>2861.3629999999998</v>
      </c>
      <c r="F5" s="446">
        <v>4899.4129999999996</v>
      </c>
      <c r="G5" s="446">
        <v>7094.35</v>
      </c>
      <c r="H5" s="446">
        <v>3372.922</v>
      </c>
      <c r="I5" s="446">
        <v>4925.8029999999999</v>
      </c>
      <c r="J5" s="446">
        <v>3943.3119999999999</v>
      </c>
      <c r="K5" s="446">
        <v>6182.4120000000003</v>
      </c>
      <c r="L5" s="446">
        <v>4713.2539999999999</v>
      </c>
      <c r="M5" s="446">
        <v>7643.5389999999998</v>
      </c>
      <c r="N5" s="446">
        <v>7743.48</v>
      </c>
      <c r="O5" s="446">
        <v>9142.1679999999997</v>
      </c>
      <c r="P5" s="446">
        <v>6125.5479999999998</v>
      </c>
      <c r="Q5" s="446">
        <v>8837.3880000000008</v>
      </c>
      <c r="R5" s="446">
        <v>6718.06</v>
      </c>
      <c r="S5" s="446">
        <v>10289.450999999999</v>
      </c>
      <c r="T5" s="446">
        <v>7759.2479999999996</v>
      </c>
      <c r="U5" s="446">
        <v>5658.0460000000003</v>
      </c>
      <c r="V5" s="446">
        <v>7602.63</v>
      </c>
      <c r="W5" s="446">
        <v>7246.12</v>
      </c>
      <c r="X5" s="446">
        <v>9556.02</v>
      </c>
      <c r="Y5" s="446">
        <v>9910.9079999999994</v>
      </c>
      <c r="Z5" s="446">
        <v>8636.84</v>
      </c>
      <c r="AA5" s="446">
        <v>11738.370999999999</v>
      </c>
      <c r="AB5" s="446">
        <v>10090.058000000001</v>
      </c>
      <c r="AC5" s="446">
        <v>11934.626</v>
      </c>
      <c r="AD5" s="446">
        <v>8181.3969999999999</v>
      </c>
      <c r="AE5" s="446">
        <v>13743.864</v>
      </c>
      <c r="AF5" s="446">
        <v>15857.607</v>
      </c>
      <c r="AG5" s="446">
        <v>12153.183999999999</v>
      </c>
      <c r="AH5" s="446">
        <v>14345.681</v>
      </c>
      <c r="AI5" s="740">
        <v>13325.099999999999</v>
      </c>
      <c r="AJ5" s="446">
        <v>14087</v>
      </c>
      <c r="AK5" s="741">
        <v>13637</v>
      </c>
      <c r="AL5" s="742">
        <v>16880</v>
      </c>
      <c r="AM5" s="742">
        <v>17810</v>
      </c>
      <c r="AN5" s="447">
        <v>16268</v>
      </c>
      <c r="AO5" s="447">
        <v>9973</v>
      </c>
      <c r="AP5" s="447">
        <v>13372</v>
      </c>
      <c r="AQ5" s="743">
        <v>22925</v>
      </c>
    </row>
    <row r="6" spans="1:74">
      <c r="A6" s="355" t="s">
        <v>46</v>
      </c>
      <c r="B6" s="363" t="s">
        <v>184</v>
      </c>
      <c r="C6" s="363"/>
      <c r="D6" s="411">
        <v>4105.1559999999999</v>
      </c>
      <c r="E6" s="411">
        <v>4606.6980000000003</v>
      </c>
      <c r="F6" s="411">
        <v>1911.105</v>
      </c>
      <c r="G6" s="411">
        <v>2023.0550000000001</v>
      </c>
      <c r="H6" s="411">
        <v>2360.1959999999999</v>
      </c>
      <c r="I6" s="411">
        <v>3091.6309999999999</v>
      </c>
      <c r="J6" s="411">
        <v>1510.8589999999999</v>
      </c>
      <c r="K6" s="411">
        <v>2307.0320000000002</v>
      </c>
      <c r="L6" s="411">
        <v>2819.4369999999999</v>
      </c>
      <c r="M6" s="411">
        <v>2225.799</v>
      </c>
      <c r="N6" s="411">
        <v>3483.529</v>
      </c>
      <c r="O6" s="411">
        <v>2396.2269999999999</v>
      </c>
      <c r="P6" s="411">
        <v>1926.5889999999999</v>
      </c>
      <c r="Q6" s="411">
        <v>2761.3159999999998</v>
      </c>
      <c r="R6" s="411">
        <v>5163.8450000000003</v>
      </c>
      <c r="S6" s="411">
        <v>3392.4859999999999</v>
      </c>
      <c r="T6" s="411">
        <v>1729.557</v>
      </c>
      <c r="U6" s="411">
        <v>3243.2950000000001</v>
      </c>
      <c r="V6" s="411">
        <v>5208.08</v>
      </c>
      <c r="W6" s="411">
        <v>1893.441</v>
      </c>
      <c r="X6" s="411">
        <v>5000.0370000000003</v>
      </c>
      <c r="Y6" s="411">
        <v>2470.0740000000001</v>
      </c>
      <c r="Z6" s="411">
        <v>3153.1970000000001</v>
      </c>
      <c r="AA6" s="411">
        <v>2486.6860000000001</v>
      </c>
      <c r="AB6" s="411">
        <v>4567.1580000000004</v>
      </c>
      <c r="AC6" s="411">
        <v>3673.22</v>
      </c>
      <c r="AD6" s="411">
        <v>4113.1350000000002</v>
      </c>
      <c r="AE6" s="411">
        <v>4552.9719999999998</v>
      </c>
      <c r="AF6" s="411">
        <v>2522.4589999999998</v>
      </c>
      <c r="AG6" s="411">
        <v>4378.76</v>
      </c>
      <c r="AH6" s="411">
        <v>3723.386</v>
      </c>
      <c r="AI6" s="661">
        <v>5345.4</v>
      </c>
      <c r="AJ6" s="411">
        <v>5659</v>
      </c>
      <c r="AK6" s="662">
        <v>3339</v>
      </c>
      <c r="AL6" s="663">
        <v>3651</v>
      </c>
      <c r="AM6" s="663">
        <v>5233</v>
      </c>
      <c r="AN6" s="412">
        <v>3764</v>
      </c>
      <c r="AO6" s="412">
        <v>4973</v>
      </c>
      <c r="AP6" s="412">
        <v>8226</v>
      </c>
      <c r="AQ6" s="664">
        <v>7661</v>
      </c>
    </row>
    <row r="7" spans="1:74" s="20" customFormat="1" ht="27">
      <c r="A7" s="665" t="s">
        <v>747</v>
      </c>
      <c r="B7" s="666" t="s">
        <v>749</v>
      </c>
      <c r="C7" s="666"/>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8"/>
      <c r="AJ7" s="667"/>
      <c r="AK7" s="669"/>
      <c r="AL7" s="670"/>
      <c r="AM7" s="670"/>
      <c r="AN7" s="671">
        <v>1</v>
      </c>
      <c r="AO7" s="693"/>
      <c r="AP7" s="748"/>
      <c r="AQ7" s="694"/>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row>
    <row r="8" spans="1:74" s="20" customFormat="1" ht="27">
      <c r="A8" s="665" t="s">
        <v>748</v>
      </c>
      <c r="B8" s="673" t="s">
        <v>750</v>
      </c>
      <c r="C8" s="673"/>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8"/>
      <c r="AJ8" s="667"/>
      <c r="AK8" s="669"/>
      <c r="AL8" s="670"/>
      <c r="AM8" s="670"/>
      <c r="AN8" s="670"/>
      <c r="AO8" s="670"/>
      <c r="AP8" s="674"/>
      <c r="AQ8" s="675"/>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row>
    <row r="9" spans="1:74" s="20" customFormat="1">
      <c r="A9" s="665" t="s">
        <v>751</v>
      </c>
      <c r="B9" s="673" t="s">
        <v>456</v>
      </c>
      <c r="C9" s="673"/>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8"/>
      <c r="AJ9" s="667"/>
      <c r="AK9" s="669"/>
      <c r="AL9" s="670"/>
      <c r="AM9" s="676">
        <v>5233</v>
      </c>
      <c r="AN9" s="671">
        <v>3763</v>
      </c>
      <c r="AO9" s="671">
        <v>4973</v>
      </c>
      <c r="AP9" s="671">
        <v>8226</v>
      </c>
      <c r="AQ9" s="672">
        <v>7661</v>
      </c>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row>
    <row r="10" spans="1:74" ht="27">
      <c r="A10" s="677" t="s">
        <v>136</v>
      </c>
      <c r="B10" s="678" t="s">
        <v>185</v>
      </c>
      <c r="C10" s="678"/>
      <c r="D10" s="411">
        <v>1484.85</v>
      </c>
      <c r="E10" s="411">
        <v>1742.9880000000001</v>
      </c>
      <c r="F10" s="411">
        <v>2412.953</v>
      </c>
      <c r="G10" s="411">
        <v>2212.9549999999999</v>
      </c>
      <c r="H10" s="411">
        <v>3176.223</v>
      </c>
      <c r="I10" s="411">
        <v>3578.9879999999998</v>
      </c>
      <c r="J10" s="411">
        <v>2780.5039999999999</v>
      </c>
      <c r="K10" s="411">
        <v>1503.6489999999999</v>
      </c>
      <c r="L10" s="411">
        <v>3329.2489999999998</v>
      </c>
      <c r="M10" s="411">
        <v>1618.3389999999999</v>
      </c>
      <c r="N10" s="411">
        <v>813.84799999999996</v>
      </c>
      <c r="O10" s="411">
        <v>1311.0889999999999</v>
      </c>
      <c r="P10" s="411">
        <v>2447.6770000000001</v>
      </c>
      <c r="Q10" s="411">
        <v>389.61</v>
      </c>
      <c r="R10" s="411">
        <v>763.01400000000001</v>
      </c>
      <c r="S10" s="411">
        <v>277.56599999999997</v>
      </c>
      <c r="T10" s="411">
        <v>2627.2109999999998</v>
      </c>
      <c r="U10" s="411">
        <v>3376.991</v>
      </c>
      <c r="V10" s="411">
        <v>2024.575</v>
      </c>
      <c r="W10" s="411">
        <v>479.88099999999997</v>
      </c>
      <c r="X10" s="411">
        <v>1489.421</v>
      </c>
      <c r="Y10" s="411">
        <v>1184.22</v>
      </c>
      <c r="Z10" s="411">
        <v>2928.152</v>
      </c>
      <c r="AA10" s="411">
        <v>1924.4259999999999</v>
      </c>
      <c r="AB10" s="411">
        <v>1813.91</v>
      </c>
      <c r="AC10" s="411">
        <v>1532.183</v>
      </c>
      <c r="AD10" s="411">
        <v>2526.087</v>
      </c>
      <c r="AE10" s="411">
        <v>783.19899999999996</v>
      </c>
      <c r="AF10" s="411">
        <v>2308.701</v>
      </c>
      <c r="AG10" s="411">
        <v>2876.0529999999999</v>
      </c>
      <c r="AH10" s="411">
        <v>1634.681</v>
      </c>
      <c r="AI10" s="661">
        <v>326.40000000000003</v>
      </c>
      <c r="AJ10" s="411">
        <v>1381</v>
      </c>
      <c r="AK10" s="662">
        <v>1499</v>
      </c>
      <c r="AL10" s="663">
        <v>1838</v>
      </c>
      <c r="AM10" s="663">
        <v>431</v>
      </c>
      <c r="AN10" s="412"/>
      <c r="AO10" s="412"/>
      <c r="AP10" s="679"/>
      <c r="AQ10" s="664"/>
    </row>
    <row r="11" spans="1:74">
      <c r="A11" s="677" t="s">
        <v>47</v>
      </c>
      <c r="B11" s="678" t="s">
        <v>186</v>
      </c>
      <c r="C11" s="678"/>
      <c r="D11" s="411">
        <v>3281.4749999999999</v>
      </c>
      <c r="E11" s="411">
        <v>3079.712</v>
      </c>
      <c r="F11" s="411">
        <v>2433.259</v>
      </c>
      <c r="G11" s="411">
        <v>2029.1220000000001</v>
      </c>
      <c r="H11" s="411">
        <v>2321.8519999999999</v>
      </c>
      <c r="I11" s="411">
        <v>1853.6379999999999</v>
      </c>
      <c r="J11" s="411">
        <v>2419.8180000000002</v>
      </c>
      <c r="K11" s="411">
        <v>1719.085</v>
      </c>
      <c r="L11" s="411">
        <v>1838.9110000000001</v>
      </c>
      <c r="M11" s="411">
        <v>1695.3150000000001</v>
      </c>
      <c r="N11" s="411">
        <v>3019.277</v>
      </c>
      <c r="O11" s="411">
        <v>3064.7330000000002</v>
      </c>
      <c r="P11" s="411">
        <v>2852.895</v>
      </c>
      <c r="Q11" s="411">
        <v>2857.2089999999998</v>
      </c>
      <c r="R11" s="411">
        <v>3533.57</v>
      </c>
      <c r="S11" s="411">
        <v>3860.5610000000001</v>
      </c>
      <c r="T11" s="411">
        <v>3463.5729999999999</v>
      </c>
      <c r="U11" s="411">
        <v>3324.3739999999998</v>
      </c>
      <c r="V11" s="411">
        <v>2814.1619999999998</v>
      </c>
      <c r="W11" s="411">
        <v>3000.86</v>
      </c>
      <c r="X11" s="411">
        <v>2747.203</v>
      </c>
      <c r="Y11" s="411">
        <v>3385.895</v>
      </c>
      <c r="Z11" s="411">
        <v>4539.4930000000004</v>
      </c>
      <c r="AA11" s="411">
        <v>5494.8220000000001</v>
      </c>
      <c r="AB11" s="411">
        <v>5598.1319999999996</v>
      </c>
      <c r="AC11" s="411">
        <v>3976.7739999999999</v>
      </c>
      <c r="AD11" s="411">
        <v>4376.549</v>
      </c>
      <c r="AE11" s="411">
        <v>4347.2690000000002</v>
      </c>
      <c r="AF11" s="411">
        <v>2991.6439999999998</v>
      </c>
      <c r="AG11" s="411">
        <v>3042.9670000000001</v>
      </c>
      <c r="AH11" s="411">
        <v>2638.6979999999999</v>
      </c>
      <c r="AI11" s="661">
        <v>2900.6</v>
      </c>
      <c r="AJ11" s="411">
        <v>2748</v>
      </c>
      <c r="AK11" s="680">
        <v>2138</v>
      </c>
      <c r="AL11" s="663">
        <v>2572</v>
      </c>
      <c r="AM11" s="663">
        <v>2598</v>
      </c>
      <c r="AN11" s="681"/>
      <c r="AO11" s="681"/>
      <c r="AP11" s="682"/>
      <c r="AQ11" s="683"/>
    </row>
    <row r="12" spans="1:74">
      <c r="A12" s="677" t="s">
        <v>135</v>
      </c>
      <c r="B12" s="678" t="s">
        <v>187</v>
      </c>
      <c r="C12" s="678"/>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684"/>
      <c r="AJ12" s="427"/>
      <c r="AK12" s="685"/>
      <c r="AL12" s="686"/>
      <c r="AM12" s="663">
        <v>887</v>
      </c>
      <c r="AN12" s="432">
        <v>772</v>
      </c>
      <c r="AO12" s="432">
        <v>742</v>
      </c>
      <c r="AP12" s="432">
        <v>496</v>
      </c>
      <c r="AQ12" s="687">
        <v>658</v>
      </c>
    </row>
    <row r="13" spans="1:74" s="21" customFormat="1">
      <c r="A13" s="677" t="s">
        <v>134</v>
      </c>
      <c r="B13" s="678" t="s">
        <v>188</v>
      </c>
      <c r="C13" s="678"/>
      <c r="D13" s="688"/>
      <c r="E13" s="688"/>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9"/>
      <c r="AJ13" s="688"/>
      <c r="AK13" s="689"/>
      <c r="AL13" s="686"/>
      <c r="AM13" s="663">
        <v>1711</v>
      </c>
      <c r="AN13" s="412">
        <v>1543</v>
      </c>
      <c r="AO13" s="412">
        <v>1982</v>
      </c>
      <c r="AP13" s="412">
        <v>1389</v>
      </c>
      <c r="AQ13" s="664">
        <v>1907</v>
      </c>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row>
    <row r="14" spans="1:74" s="21" customFormat="1">
      <c r="A14" s="677" t="s">
        <v>137</v>
      </c>
      <c r="B14" s="678" t="s">
        <v>189</v>
      </c>
      <c r="C14" s="678"/>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9"/>
      <c r="AJ14" s="688"/>
      <c r="AK14" s="689"/>
      <c r="AL14" s="686"/>
      <c r="AM14" s="663">
        <v>54075</v>
      </c>
      <c r="AN14" s="412">
        <v>57824</v>
      </c>
      <c r="AO14" s="412">
        <v>61165</v>
      </c>
      <c r="AP14" s="412">
        <v>58644</v>
      </c>
      <c r="AQ14" s="664">
        <v>64114</v>
      </c>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row>
    <row r="15" spans="1:74" s="22" customFormat="1">
      <c r="A15" s="665" t="s">
        <v>752</v>
      </c>
      <c r="B15" s="673" t="s">
        <v>190</v>
      </c>
      <c r="C15" s="673"/>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1"/>
      <c r="AJ15" s="690"/>
      <c r="AK15" s="691"/>
      <c r="AL15" s="670"/>
      <c r="AM15" s="692">
        <v>431</v>
      </c>
      <c r="AN15" s="671">
        <v>1593</v>
      </c>
      <c r="AO15" s="671">
        <v>1135</v>
      </c>
      <c r="AP15" s="671">
        <v>1999</v>
      </c>
      <c r="AQ15" s="672">
        <v>235</v>
      </c>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row>
    <row r="16" spans="1:74" s="22" customFormat="1" ht="40.5">
      <c r="A16" s="665" t="s">
        <v>753</v>
      </c>
      <c r="B16" s="673" t="s">
        <v>760</v>
      </c>
      <c r="C16" s="673"/>
      <c r="D16" s="690"/>
      <c r="E16" s="690"/>
      <c r="F16" s="690"/>
      <c r="G16" s="690"/>
      <c r="H16" s="690"/>
      <c r="I16" s="690"/>
      <c r="J16" s="690"/>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1"/>
      <c r="AJ16" s="690"/>
      <c r="AK16" s="691"/>
      <c r="AL16" s="670"/>
      <c r="AM16" s="692">
        <v>8157</v>
      </c>
      <c r="AN16" s="693"/>
      <c r="AO16" s="693"/>
      <c r="AP16" s="693"/>
      <c r="AQ16" s="694"/>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row>
    <row r="17" spans="1:74" s="22" customFormat="1" ht="27">
      <c r="A17" s="665" t="s">
        <v>754</v>
      </c>
      <c r="B17" s="673" t="s">
        <v>761</v>
      </c>
      <c r="C17" s="673"/>
      <c r="D17" s="690"/>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1"/>
      <c r="AJ17" s="690"/>
      <c r="AK17" s="691"/>
      <c r="AL17" s="670"/>
      <c r="AM17" s="692">
        <v>43675</v>
      </c>
      <c r="AN17" s="693"/>
      <c r="AO17" s="693"/>
      <c r="AP17" s="693"/>
      <c r="AQ17" s="694"/>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row>
    <row r="18" spans="1:74" s="22" customFormat="1" ht="27">
      <c r="A18" s="665" t="s">
        <v>755</v>
      </c>
      <c r="B18" s="673" t="s">
        <v>762</v>
      </c>
      <c r="C18" s="673"/>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1"/>
      <c r="AJ18" s="690"/>
      <c r="AK18" s="691"/>
      <c r="AL18" s="670"/>
      <c r="AM18" s="692">
        <v>1812</v>
      </c>
      <c r="AN18" s="693"/>
      <c r="AO18" s="693"/>
      <c r="AP18" s="693"/>
      <c r="AQ18" s="694"/>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row>
    <row r="19" spans="1:74" s="22" customFormat="1" ht="27">
      <c r="A19" s="665" t="s">
        <v>756</v>
      </c>
      <c r="B19" s="673" t="s">
        <v>749</v>
      </c>
      <c r="C19" s="673"/>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1"/>
      <c r="AJ19" s="690"/>
      <c r="AK19" s="691"/>
      <c r="AL19" s="670"/>
      <c r="AM19" s="670"/>
      <c r="AN19" s="671">
        <v>4177</v>
      </c>
      <c r="AO19" s="671">
        <v>3303</v>
      </c>
      <c r="AP19" s="671">
        <v>3023</v>
      </c>
      <c r="AQ19" s="672">
        <v>2848</v>
      </c>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row>
    <row r="20" spans="1:74" s="22" customFormat="1" ht="27">
      <c r="A20" s="665" t="s">
        <v>757</v>
      </c>
      <c r="B20" s="673" t="s">
        <v>763</v>
      </c>
      <c r="C20" s="673"/>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1"/>
      <c r="AJ20" s="690"/>
      <c r="AK20" s="691"/>
      <c r="AL20" s="670"/>
      <c r="AM20" s="670"/>
      <c r="AN20" s="671"/>
      <c r="AO20" s="671"/>
      <c r="AP20" s="671"/>
      <c r="AQ20" s="672"/>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row>
    <row r="21" spans="1:74" s="22" customFormat="1" ht="27">
      <c r="A21" s="665" t="s">
        <v>758</v>
      </c>
      <c r="B21" s="673" t="s">
        <v>750</v>
      </c>
      <c r="C21" s="673"/>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1"/>
      <c r="AJ21" s="690"/>
      <c r="AK21" s="691"/>
      <c r="AL21" s="670"/>
      <c r="AM21" s="670"/>
      <c r="AN21" s="671">
        <v>44985</v>
      </c>
      <c r="AO21" s="671">
        <v>50249</v>
      </c>
      <c r="AP21" s="671">
        <v>46952</v>
      </c>
      <c r="AQ21" s="672">
        <v>52558</v>
      </c>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row>
    <row r="22" spans="1:74" s="22" customFormat="1">
      <c r="A22" s="665" t="s">
        <v>759</v>
      </c>
      <c r="B22" s="673" t="s">
        <v>456</v>
      </c>
      <c r="C22" s="673"/>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1"/>
      <c r="AJ22" s="690"/>
      <c r="AK22" s="691"/>
      <c r="AL22" s="670"/>
      <c r="AM22" s="670"/>
      <c r="AN22" s="671">
        <v>7069</v>
      </c>
      <c r="AO22" s="671">
        <v>6478</v>
      </c>
      <c r="AP22" s="671">
        <v>6670</v>
      </c>
      <c r="AQ22" s="672">
        <v>8473</v>
      </c>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row>
    <row r="23" spans="1:74" ht="27" customHeight="1">
      <c r="A23" s="677" t="s">
        <v>48</v>
      </c>
      <c r="B23" s="678" t="s">
        <v>191</v>
      </c>
      <c r="C23" s="678"/>
      <c r="D23" s="411">
        <v>7712.9830000000002</v>
      </c>
      <c r="E23" s="411">
        <v>9870.7520000000004</v>
      </c>
      <c r="F23" s="411">
        <v>10212.405000000001</v>
      </c>
      <c r="G23" s="411">
        <v>12360.69</v>
      </c>
      <c r="H23" s="411">
        <v>10631.616</v>
      </c>
      <c r="I23" s="411">
        <v>12232.494000000001</v>
      </c>
      <c r="J23" s="411">
        <v>14050.619000000001</v>
      </c>
      <c r="K23" s="411">
        <v>10758.331</v>
      </c>
      <c r="L23" s="411">
        <v>11016.581</v>
      </c>
      <c r="M23" s="411">
        <v>12331.438</v>
      </c>
      <c r="N23" s="411">
        <v>13496.683000000001</v>
      </c>
      <c r="O23" s="411">
        <v>12467.200999999999</v>
      </c>
      <c r="P23" s="411">
        <v>14867.728999999999</v>
      </c>
      <c r="Q23" s="411">
        <v>14946.799000000001</v>
      </c>
      <c r="R23" s="411">
        <v>16220.526</v>
      </c>
      <c r="S23" s="411">
        <v>12629.710999999999</v>
      </c>
      <c r="T23" s="411">
        <v>14114.361999999999</v>
      </c>
      <c r="U23" s="411">
        <v>12661.245000000001</v>
      </c>
      <c r="V23" s="411">
        <v>12503.572</v>
      </c>
      <c r="W23" s="411">
        <v>15204.755999999999</v>
      </c>
      <c r="X23" s="411">
        <v>9421.3230000000003</v>
      </c>
      <c r="Y23" s="411">
        <v>16058.563</v>
      </c>
      <c r="Z23" s="411">
        <v>15002.777</v>
      </c>
      <c r="AA23" s="411">
        <v>15723.147999999999</v>
      </c>
      <c r="AB23" s="411">
        <v>18730.144</v>
      </c>
      <c r="AC23" s="411">
        <v>13871.079</v>
      </c>
      <c r="AD23" s="411">
        <v>14592.584999999999</v>
      </c>
      <c r="AE23" s="411">
        <v>15154.1</v>
      </c>
      <c r="AF23" s="411">
        <v>13100.195</v>
      </c>
      <c r="AG23" s="411">
        <v>13788.284</v>
      </c>
      <c r="AH23" s="411">
        <v>15163.093000000001</v>
      </c>
      <c r="AI23" s="661">
        <v>13937.199999999999</v>
      </c>
      <c r="AJ23" s="411">
        <v>11775</v>
      </c>
      <c r="AK23" s="680">
        <v>9045</v>
      </c>
      <c r="AL23" s="663">
        <v>6395</v>
      </c>
      <c r="AM23" s="663">
        <v>8157</v>
      </c>
      <c r="AN23" s="681"/>
      <c r="AO23" s="681"/>
      <c r="AP23" s="682"/>
      <c r="AQ23" s="683"/>
    </row>
    <row r="24" spans="1:74" s="44" customFormat="1">
      <c r="A24" s="695" t="s">
        <v>49</v>
      </c>
      <c r="B24" s="696" t="s">
        <v>151</v>
      </c>
      <c r="C24" s="696"/>
      <c r="D24" s="424">
        <v>106540.209</v>
      </c>
      <c r="E24" s="424">
        <v>107798.572</v>
      </c>
      <c r="F24" s="424">
        <v>111817.05499999999</v>
      </c>
      <c r="G24" s="424">
        <v>116572.58500000001</v>
      </c>
      <c r="H24" s="424">
        <v>117892.444</v>
      </c>
      <c r="I24" s="424">
        <v>124665.467</v>
      </c>
      <c r="J24" s="424">
        <v>126715.1</v>
      </c>
      <c r="K24" s="424">
        <v>130668.11900000001</v>
      </c>
      <c r="L24" s="424">
        <v>132419.804</v>
      </c>
      <c r="M24" s="424">
        <v>135680.43900000001</v>
      </c>
      <c r="N24" s="424">
        <v>139695.28099999999</v>
      </c>
      <c r="O24" s="424">
        <v>141634.49400000001</v>
      </c>
      <c r="P24" s="424">
        <v>140563.33300000001</v>
      </c>
      <c r="Q24" s="424">
        <v>140943.42000000001</v>
      </c>
      <c r="R24" s="424">
        <v>142315.087</v>
      </c>
      <c r="S24" s="424">
        <v>143483.06599999999</v>
      </c>
      <c r="T24" s="424">
        <v>147089.10999999999</v>
      </c>
      <c r="U24" s="424">
        <v>148684.443</v>
      </c>
      <c r="V24" s="424">
        <v>149611.334</v>
      </c>
      <c r="W24" s="424">
        <v>149623.26199999999</v>
      </c>
      <c r="X24" s="424">
        <v>149660.86499999999</v>
      </c>
      <c r="Y24" s="424">
        <v>177993.959</v>
      </c>
      <c r="Z24" s="424">
        <v>178333.3</v>
      </c>
      <c r="AA24" s="424">
        <v>179497.38399999999</v>
      </c>
      <c r="AB24" s="424">
        <v>182440.40599999999</v>
      </c>
      <c r="AC24" s="424">
        <v>185336.08900000001</v>
      </c>
      <c r="AD24" s="424">
        <v>185193.11499999999</v>
      </c>
      <c r="AE24" s="424">
        <v>190413.70800000001</v>
      </c>
      <c r="AF24" s="424">
        <v>187869.10699999999</v>
      </c>
      <c r="AG24" s="424">
        <v>191515.372</v>
      </c>
      <c r="AH24" s="424">
        <v>193174.34299999999</v>
      </c>
      <c r="AI24" s="697">
        <v>200606</v>
      </c>
      <c r="AJ24" s="424">
        <v>200579</v>
      </c>
      <c r="AK24" s="698">
        <v>204620</v>
      </c>
      <c r="AL24" s="699">
        <v>205809</v>
      </c>
      <c r="AM24" s="699">
        <v>205629</v>
      </c>
      <c r="AN24" s="421">
        <v>202788</v>
      </c>
      <c r="AO24" s="421">
        <v>207593</v>
      </c>
      <c r="AP24" s="421">
        <v>211633</v>
      </c>
      <c r="AQ24" s="481">
        <v>214911</v>
      </c>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row>
    <row r="25" spans="1:74" s="20" customFormat="1" ht="27">
      <c r="A25" s="665" t="s">
        <v>747</v>
      </c>
      <c r="B25" s="673" t="s">
        <v>749</v>
      </c>
      <c r="C25" s="673"/>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700"/>
      <c r="AJ25" s="667"/>
      <c r="AK25" s="701"/>
      <c r="AL25" s="670"/>
      <c r="AM25" s="670"/>
      <c r="AN25" s="671">
        <v>1032</v>
      </c>
      <c r="AO25" s="671">
        <v>988</v>
      </c>
      <c r="AP25" s="671">
        <v>934</v>
      </c>
      <c r="AQ25" s="672">
        <v>1106</v>
      </c>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row>
    <row r="26" spans="1:74" s="20" customFormat="1" ht="27">
      <c r="A26" s="665" t="s">
        <v>764</v>
      </c>
      <c r="B26" s="673" t="s">
        <v>750</v>
      </c>
      <c r="C26" s="673"/>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700"/>
      <c r="AJ26" s="667"/>
      <c r="AK26" s="701"/>
      <c r="AL26" s="670"/>
      <c r="AM26" s="670"/>
      <c r="AN26" s="670"/>
      <c r="AO26" s="670"/>
      <c r="AP26" s="670"/>
      <c r="AQ26" s="670"/>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row>
    <row r="27" spans="1:74" s="20" customFormat="1">
      <c r="A27" s="665" t="s">
        <v>751</v>
      </c>
      <c r="B27" s="673" t="s">
        <v>456</v>
      </c>
      <c r="C27" s="673"/>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700"/>
      <c r="AJ27" s="667"/>
      <c r="AK27" s="701"/>
      <c r="AL27" s="670"/>
      <c r="AM27" s="692">
        <v>205628</v>
      </c>
      <c r="AN27" s="671">
        <v>201756</v>
      </c>
      <c r="AO27" s="671">
        <v>206605</v>
      </c>
      <c r="AP27" s="671">
        <v>210699</v>
      </c>
      <c r="AQ27" s="466">
        <v>213805</v>
      </c>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row>
    <row r="28" spans="1:74">
      <c r="A28" s="677" t="s">
        <v>50</v>
      </c>
      <c r="B28" s="678" t="s">
        <v>192</v>
      </c>
      <c r="C28" s="678"/>
      <c r="D28" s="411">
        <v>5948.3969999999999</v>
      </c>
      <c r="E28" s="411">
        <v>6113.8050000000003</v>
      </c>
      <c r="F28" s="411">
        <v>6714.6260000000002</v>
      </c>
      <c r="G28" s="411">
        <v>7944.317</v>
      </c>
      <c r="H28" s="411">
        <v>10583.154</v>
      </c>
      <c r="I28" s="411">
        <v>9148.0400000000009</v>
      </c>
      <c r="J28" s="411">
        <v>9303.268</v>
      </c>
      <c r="K28" s="411">
        <v>10219.4</v>
      </c>
      <c r="L28" s="411">
        <v>10068.039000000001</v>
      </c>
      <c r="M28" s="411">
        <v>10967.85</v>
      </c>
      <c r="N28" s="411">
        <v>12195.236999999999</v>
      </c>
      <c r="O28" s="411">
        <v>14393.276</v>
      </c>
      <c r="P28" s="411">
        <v>13980.883</v>
      </c>
      <c r="Q28" s="411">
        <v>12741.996999999999</v>
      </c>
      <c r="R28" s="411">
        <v>11539.406999999999</v>
      </c>
      <c r="S28" s="411">
        <v>12205.13</v>
      </c>
      <c r="T28" s="411">
        <v>12767.965</v>
      </c>
      <c r="U28" s="411">
        <v>13720.351000000001</v>
      </c>
      <c r="V28" s="411">
        <v>14130.075000000001</v>
      </c>
      <c r="W28" s="411">
        <v>14073.078</v>
      </c>
      <c r="X28" s="411">
        <v>16826.413</v>
      </c>
      <c r="Y28" s="411">
        <v>21665.452000000001</v>
      </c>
      <c r="Z28" s="411">
        <v>22440.222000000002</v>
      </c>
      <c r="AA28" s="411">
        <v>22279.224999999999</v>
      </c>
      <c r="AB28" s="411">
        <v>23602.866999999998</v>
      </c>
      <c r="AC28" s="411">
        <v>25622.254000000001</v>
      </c>
      <c r="AD28" s="411">
        <v>26270.566999999999</v>
      </c>
      <c r="AE28" s="411">
        <v>28309.514999999999</v>
      </c>
      <c r="AF28" s="411">
        <v>31689.977999999999</v>
      </c>
      <c r="AG28" s="411">
        <v>33655.79</v>
      </c>
      <c r="AH28" s="411">
        <v>34071.688999999998</v>
      </c>
      <c r="AI28" s="661">
        <v>36675.599999999999</v>
      </c>
      <c r="AJ28" s="411">
        <v>39058</v>
      </c>
      <c r="AK28" s="662">
        <v>39106</v>
      </c>
      <c r="AL28" s="663">
        <v>40176</v>
      </c>
      <c r="AM28" s="663">
        <v>43675</v>
      </c>
      <c r="AN28" s="681"/>
      <c r="AO28" s="681"/>
      <c r="AP28" s="682"/>
      <c r="AQ28" s="428"/>
    </row>
    <row r="29" spans="1:74" ht="21" customHeight="1">
      <c r="A29" s="677" t="s">
        <v>51</v>
      </c>
      <c r="B29" s="678" t="s">
        <v>193</v>
      </c>
      <c r="C29" s="678"/>
      <c r="D29" s="411"/>
      <c r="E29" s="411">
        <v>5.8650000000000002</v>
      </c>
      <c r="F29" s="411">
        <v>9.7799999999999994</v>
      </c>
      <c r="G29" s="411">
        <v>9.8940000000000001</v>
      </c>
      <c r="H29" s="411">
        <v>131.535</v>
      </c>
      <c r="I29" s="411">
        <v>0</v>
      </c>
      <c r="J29" s="411">
        <v>0</v>
      </c>
      <c r="K29" s="411">
        <v>0</v>
      </c>
      <c r="L29" s="411">
        <v>0</v>
      </c>
      <c r="M29" s="411">
        <v>0</v>
      </c>
      <c r="N29" s="411">
        <v>0</v>
      </c>
      <c r="O29" s="411">
        <v>0</v>
      </c>
      <c r="P29" s="411">
        <v>0</v>
      </c>
      <c r="Q29" s="411">
        <v>0</v>
      </c>
      <c r="R29" s="411">
        <v>0</v>
      </c>
      <c r="S29" s="411">
        <v>46.970999999999997</v>
      </c>
      <c r="T29" s="411">
        <v>29.829000000000001</v>
      </c>
      <c r="U29" s="411">
        <v>49.624000000000002</v>
      </c>
      <c r="V29" s="411">
        <v>28.312999999999999</v>
      </c>
      <c r="W29" s="411">
        <v>38.005000000000003</v>
      </c>
      <c r="X29" s="411">
        <v>179.375</v>
      </c>
      <c r="Y29" s="411">
        <v>206.816</v>
      </c>
      <c r="Z29" s="411">
        <v>263.226</v>
      </c>
      <c r="AA29" s="411">
        <v>233.358</v>
      </c>
      <c r="AB29" s="411">
        <v>202.85499999999999</v>
      </c>
      <c r="AC29" s="411">
        <v>245.24700000000001</v>
      </c>
      <c r="AD29" s="411">
        <v>289.88</v>
      </c>
      <c r="AE29" s="411">
        <v>210.33</v>
      </c>
      <c r="AF29" s="411">
        <v>313.69299999999998</v>
      </c>
      <c r="AG29" s="411">
        <v>329.92700000000002</v>
      </c>
      <c r="AH29" s="411">
        <v>281.63400000000001</v>
      </c>
      <c r="AI29" s="661">
        <v>465.6</v>
      </c>
      <c r="AJ29" s="411">
        <v>1200</v>
      </c>
      <c r="AK29" s="662">
        <v>1184</v>
      </c>
      <c r="AL29" s="663">
        <v>1098</v>
      </c>
      <c r="AM29" s="663">
        <v>1812</v>
      </c>
      <c r="AN29" s="681"/>
      <c r="AO29" s="681"/>
      <c r="AP29" s="682"/>
      <c r="AQ29" s="428"/>
    </row>
    <row r="30" spans="1:74" ht="27">
      <c r="A30" s="677" t="s">
        <v>140</v>
      </c>
      <c r="B30" s="678" t="s">
        <v>194</v>
      </c>
      <c r="C30" s="678"/>
      <c r="D30" s="411">
        <v>233.74</v>
      </c>
      <c r="E30" s="411">
        <v>231.18799999999999</v>
      </c>
      <c r="F30" s="411">
        <v>232.989</v>
      </c>
      <c r="G30" s="411">
        <v>228.69200000000001</v>
      </c>
      <c r="H30" s="411">
        <v>226.29</v>
      </c>
      <c r="I30" s="411">
        <v>224.363</v>
      </c>
      <c r="J30" s="411">
        <v>176.036</v>
      </c>
      <c r="K30" s="411">
        <v>172.93100000000001</v>
      </c>
      <c r="L30" s="411">
        <v>170.249</v>
      </c>
      <c r="M30" s="411">
        <v>168.012</v>
      </c>
      <c r="N30" s="411">
        <v>167.279</v>
      </c>
      <c r="O30" s="411">
        <v>123.119</v>
      </c>
      <c r="P30" s="411">
        <v>129.38999999999999</v>
      </c>
      <c r="Q30" s="411">
        <v>124.55500000000001</v>
      </c>
      <c r="R30" s="411">
        <v>129.751</v>
      </c>
      <c r="S30" s="411">
        <v>119.211</v>
      </c>
      <c r="T30" s="411">
        <v>119.209</v>
      </c>
      <c r="U30" s="411">
        <v>111.297</v>
      </c>
      <c r="V30" s="411">
        <v>111.928</v>
      </c>
      <c r="W30" s="411">
        <v>309.69200000000001</v>
      </c>
      <c r="X30" s="411">
        <v>312.46100000000001</v>
      </c>
      <c r="Y30" s="411">
        <v>306.24099999999999</v>
      </c>
      <c r="Z30" s="411">
        <v>312.83499999999998</v>
      </c>
      <c r="AA30" s="411">
        <v>322.48599999999999</v>
      </c>
      <c r="AB30" s="411">
        <v>198.47399999999999</v>
      </c>
      <c r="AC30" s="411">
        <v>205.82599999999999</v>
      </c>
      <c r="AD30" s="411">
        <v>207.76900000000001</v>
      </c>
      <c r="AE30" s="411">
        <v>391.87099999999998</v>
      </c>
      <c r="AF30" s="411">
        <v>396.26299999999998</v>
      </c>
      <c r="AG30" s="411">
        <v>404.50799999999998</v>
      </c>
      <c r="AH30" s="411">
        <v>398.25200000000001</v>
      </c>
      <c r="AI30" s="661">
        <v>385.6</v>
      </c>
      <c r="AJ30" s="411">
        <v>377</v>
      </c>
      <c r="AK30" s="662">
        <v>380</v>
      </c>
      <c r="AL30" s="663">
        <v>375</v>
      </c>
      <c r="AM30" s="663">
        <v>393</v>
      </c>
      <c r="AN30" s="412">
        <v>369</v>
      </c>
      <c r="AO30" s="412">
        <v>374</v>
      </c>
      <c r="AP30" s="412">
        <v>377</v>
      </c>
      <c r="AQ30" s="414">
        <v>344</v>
      </c>
    </row>
    <row r="31" spans="1:74">
      <c r="A31" s="677" t="s">
        <v>53</v>
      </c>
      <c r="B31" s="678" t="s">
        <v>195</v>
      </c>
      <c r="C31" s="678"/>
      <c r="D31" s="411">
        <v>13.851000000000001</v>
      </c>
      <c r="E31" s="411">
        <v>16.065999999999999</v>
      </c>
      <c r="F31" s="411">
        <v>15.353999999999999</v>
      </c>
      <c r="G31" s="411">
        <v>13.851000000000001</v>
      </c>
      <c r="H31" s="411">
        <v>16.954000000000001</v>
      </c>
      <c r="I31" s="411">
        <v>16.79</v>
      </c>
      <c r="J31" s="411">
        <v>15.657999999999999</v>
      </c>
      <c r="K31" s="411">
        <v>19.783999999999999</v>
      </c>
      <c r="L31" s="411">
        <v>18.283999999999999</v>
      </c>
      <c r="M31" s="411">
        <v>19.800999999999998</v>
      </c>
      <c r="N31" s="411">
        <v>17.969000000000001</v>
      </c>
      <c r="O31" s="411">
        <v>20.41</v>
      </c>
      <c r="P31" s="411">
        <v>20.41</v>
      </c>
      <c r="Q31" s="411">
        <v>20.401</v>
      </c>
      <c r="R31" s="411">
        <v>19.782</v>
      </c>
      <c r="S31" s="411">
        <v>20.41</v>
      </c>
      <c r="T31" s="411">
        <v>20.797999999999998</v>
      </c>
      <c r="U31" s="411">
        <v>28.260999999999999</v>
      </c>
      <c r="V31" s="411">
        <v>13.621</v>
      </c>
      <c r="W31" s="411">
        <v>172.21899999999999</v>
      </c>
      <c r="X31" s="411">
        <v>147.46299999999999</v>
      </c>
      <c r="Y31" s="411">
        <v>118.351</v>
      </c>
      <c r="Z31" s="411">
        <v>172.06100000000001</v>
      </c>
      <c r="AA31" s="411">
        <v>624.99199999999996</v>
      </c>
      <c r="AB31" s="411">
        <v>776.40599999999995</v>
      </c>
      <c r="AC31" s="411">
        <v>752.33100000000002</v>
      </c>
      <c r="AD31" s="411">
        <v>772.79600000000005</v>
      </c>
      <c r="AE31" s="411">
        <v>220.02</v>
      </c>
      <c r="AF31" s="411">
        <v>217.47</v>
      </c>
      <c r="AG31" s="411">
        <v>29.704000000000001</v>
      </c>
      <c r="AH31" s="411">
        <v>30.728999999999999</v>
      </c>
      <c r="AI31" s="661">
        <v>14.399999999999999</v>
      </c>
      <c r="AJ31" s="411">
        <v>9</v>
      </c>
      <c r="AK31" s="662">
        <v>27</v>
      </c>
      <c r="AL31" s="663">
        <v>29</v>
      </c>
      <c r="AM31" s="663">
        <v>138</v>
      </c>
      <c r="AN31" s="412">
        <v>135</v>
      </c>
      <c r="AO31" s="412">
        <v>158</v>
      </c>
      <c r="AP31" s="412">
        <v>160</v>
      </c>
      <c r="AQ31" s="414">
        <v>15</v>
      </c>
    </row>
    <row r="32" spans="1:74">
      <c r="A32" s="677" t="s">
        <v>54</v>
      </c>
      <c r="B32" s="678" t="s">
        <v>196</v>
      </c>
      <c r="C32" s="678"/>
      <c r="D32" s="411">
        <v>627.30200000000002</v>
      </c>
      <c r="E32" s="411">
        <v>667.99199999999996</v>
      </c>
      <c r="F32" s="411">
        <v>683.65</v>
      </c>
      <c r="G32" s="411">
        <v>653.07500000000005</v>
      </c>
      <c r="H32" s="411">
        <v>583.53599999999994</v>
      </c>
      <c r="I32" s="411">
        <v>579.23</v>
      </c>
      <c r="J32" s="411">
        <v>544.64</v>
      </c>
      <c r="K32" s="411">
        <v>530.27499999999998</v>
      </c>
      <c r="L32" s="411">
        <v>511.61200000000002</v>
      </c>
      <c r="M32" s="411">
        <v>525.154</v>
      </c>
      <c r="N32" s="411">
        <v>546.56700000000001</v>
      </c>
      <c r="O32" s="411">
        <v>566.846</v>
      </c>
      <c r="P32" s="411">
        <v>576.91300000000001</v>
      </c>
      <c r="Q32" s="411">
        <v>586.03899999999999</v>
      </c>
      <c r="R32" s="411">
        <v>565.67999999999995</v>
      </c>
      <c r="S32" s="411">
        <v>553.53399999999999</v>
      </c>
      <c r="T32" s="411">
        <v>604.98</v>
      </c>
      <c r="U32" s="411">
        <v>645.66600000000005</v>
      </c>
      <c r="V32" s="411">
        <v>637.35599999999999</v>
      </c>
      <c r="W32" s="411">
        <v>649.64099999999996</v>
      </c>
      <c r="X32" s="411">
        <v>659.68</v>
      </c>
      <c r="Y32" s="411">
        <v>617.55799999999999</v>
      </c>
      <c r="Z32" s="411">
        <v>595.43100000000004</v>
      </c>
      <c r="AA32" s="411">
        <v>237.88300000000001</v>
      </c>
      <c r="AB32" s="411">
        <v>265.12900000000002</v>
      </c>
      <c r="AC32" s="411">
        <v>258.09300000000002</v>
      </c>
      <c r="AD32" s="411">
        <v>238.96799999999999</v>
      </c>
      <c r="AE32" s="411">
        <v>400.94799999999998</v>
      </c>
      <c r="AF32" s="411">
        <v>343.19600000000003</v>
      </c>
      <c r="AG32" s="411">
        <v>291.09399999999999</v>
      </c>
      <c r="AH32" s="411">
        <v>198.32599999999999</v>
      </c>
      <c r="AI32" s="661">
        <v>259.89999999999998</v>
      </c>
      <c r="AJ32" s="411">
        <v>301</v>
      </c>
      <c r="AK32" s="662">
        <v>290</v>
      </c>
      <c r="AL32" s="663">
        <v>183</v>
      </c>
      <c r="AM32" s="702"/>
      <c r="AN32" s="681"/>
      <c r="AO32" s="681"/>
      <c r="AP32" s="681"/>
      <c r="AQ32" s="428"/>
    </row>
    <row r="33" spans="1:74">
      <c r="A33" s="355" t="s">
        <v>55</v>
      </c>
      <c r="B33" s="678" t="s">
        <v>197</v>
      </c>
      <c r="C33" s="678"/>
      <c r="D33" s="411">
        <v>1436.329</v>
      </c>
      <c r="E33" s="411">
        <v>1428.826</v>
      </c>
      <c r="F33" s="411">
        <v>1475.06</v>
      </c>
      <c r="G33" s="411">
        <v>1572.577</v>
      </c>
      <c r="H33" s="411">
        <v>1617.0229999999999</v>
      </c>
      <c r="I33" s="411">
        <v>1625.7470000000001</v>
      </c>
      <c r="J33" s="411">
        <v>1644.7170000000001</v>
      </c>
      <c r="K33" s="411">
        <v>1802.037</v>
      </c>
      <c r="L33" s="411">
        <v>1785.0989999999999</v>
      </c>
      <c r="M33" s="411">
        <v>1781.502</v>
      </c>
      <c r="N33" s="411">
        <v>1779.845</v>
      </c>
      <c r="O33" s="411">
        <v>1800.008</v>
      </c>
      <c r="P33" s="411">
        <v>1792.1310000000001</v>
      </c>
      <c r="Q33" s="411">
        <v>1770.9590000000001</v>
      </c>
      <c r="R33" s="411">
        <v>1797.5260000000001</v>
      </c>
      <c r="S33" s="411">
        <v>1934</v>
      </c>
      <c r="T33" s="411">
        <v>1912.44</v>
      </c>
      <c r="U33" s="411">
        <v>1983.5450000000001</v>
      </c>
      <c r="V33" s="411">
        <v>1961.7180000000001</v>
      </c>
      <c r="W33" s="411">
        <v>2230.2220000000002</v>
      </c>
      <c r="X33" s="411">
        <v>2189.7849999999999</v>
      </c>
      <c r="Y33" s="411">
        <v>3342.3490000000002</v>
      </c>
      <c r="Z33" s="411">
        <v>3315.2779999999998</v>
      </c>
      <c r="AA33" s="411">
        <v>3379.5010000000002</v>
      </c>
      <c r="AB33" s="411">
        <v>3277.4879999999998</v>
      </c>
      <c r="AC33" s="411">
        <v>3228.3040000000001</v>
      </c>
      <c r="AD33" s="411">
        <v>3168.5749999999998</v>
      </c>
      <c r="AE33" s="411">
        <v>3270.9830000000002</v>
      </c>
      <c r="AF33" s="411">
        <v>3369.8209999999999</v>
      </c>
      <c r="AG33" s="411">
        <v>3299.4369999999999</v>
      </c>
      <c r="AH33" s="411">
        <v>3254.54</v>
      </c>
      <c r="AI33" s="661">
        <v>3422.2000000000007</v>
      </c>
      <c r="AJ33" s="411">
        <v>3354</v>
      </c>
      <c r="AK33" s="662">
        <v>3285</v>
      </c>
      <c r="AL33" s="663">
        <v>3228</v>
      </c>
      <c r="AM33" s="663">
        <v>3242</v>
      </c>
      <c r="AN33" s="412">
        <v>3161</v>
      </c>
      <c r="AO33" s="412">
        <v>3120</v>
      </c>
      <c r="AP33" s="412">
        <v>3088</v>
      </c>
      <c r="AQ33" s="414">
        <v>3195</v>
      </c>
    </row>
    <row r="34" spans="1:74">
      <c r="A34" s="355" t="s">
        <v>56</v>
      </c>
      <c r="B34" s="678" t="s">
        <v>198</v>
      </c>
      <c r="C34" s="678"/>
      <c r="D34" s="411">
        <v>2942.6039999999998</v>
      </c>
      <c r="E34" s="411">
        <v>2889.1529999999998</v>
      </c>
      <c r="F34" s="411">
        <v>2814.3879999999999</v>
      </c>
      <c r="G34" s="411">
        <v>2777.694</v>
      </c>
      <c r="H34" s="411">
        <v>2713.1129999999998</v>
      </c>
      <c r="I34" s="411">
        <v>2688.837</v>
      </c>
      <c r="J34" s="411">
        <v>2612.2060000000001</v>
      </c>
      <c r="K34" s="411">
        <v>2576.4450000000002</v>
      </c>
      <c r="L34" s="411">
        <v>2552.0219999999999</v>
      </c>
      <c r="M34" s="411">
        <v>2517.9810000000002</v>
      </c>
      <c r="N34" s="411">
        <v>2521.6610000000001</v>
      </c>
      <c r="O34" s="411">
        <v>2541.317</v>
      </c>
      <c r="P34" s="411">
        <v>2486.6729999999998</v>
      </c>
      <c r="Q34" s="411">
        <v>2494.788</v>
      </c>
      <c r="R34" s="411">
        <v>2524.5430000000001</v>
      </c>
      <c r="S34" s="411">
        <v>2650.5970000000002</v>
      </c>
      <c r="T34" s="411">
        <v>2645.9380000000001</v>
      </c>
      <c r="U34" s="411">
        <v>2662.2919999999999</v>
      </c>
      <c r="V34" s="411">
        <v>2616.0030000000002</v>
      </c>
      <c r="W34" s="411">
        <v>2611.2330000000002</v>
      </c>
      <c r="X34" s="411">
        <v>2696.413</v>
      </c>
      <c r="Y34" s="411">
        <v>2778.0610000000001</v>
      </c>
      <c r="Z34" s="411">
        <v>2762.259</v>
      </c>
      <c r="AA34" s="411">
        <v>2653.5549999999998</v>
      </c>
      <c r="AB34" s="411">
        <v>2480.8000000000002</v>
      </c>
      <c r="AC34" s="411">
        <v>2493.4229999999998</v>
      </c>
      <c r="AD34" s="411">
        <v>2519.6889999999999</v>
      </c>
      <c r="AE34" s="411">
        <v>2782.1860000000001</v>
      </c>
      <c r="AF34" s="411">
        <v>2808.01</v>
      </c>
      <c r="AG34" s="411">
        <v>2920.9929999999999</v>
      </c>
      <c r="AH34" s="411">
        <v>2887.6149999999998</v>
      </c>
      <c r="AI34" s="661">
        <v>3085.7</v>
      </c>
      <c r="AJ34" s="411">
        <v>3027</v>
      </c>
      <c r="AK34" s="662">
        <v>3004</v>
      </c>
      <c r="AL34" s="663">
        <v>2975</v>
      </c>
      <c r="AM34" s="663">
        <v>2915</v>
      </c>
      <c r="AN34" s="412">
        <v>2874</v>
      </c>
      <c r="AO34" s="412">
        <v>2810</v>
      </c>
      <c r="AP34" s="412">
        <v>2836</v>
      </c>
      <c r="AQ34" s="414">
        <v>2931</v>
      </c>
    </row>
    <row r="35" spans="1:74">
      <c r="A35" s="355" t="s">
        <v>57</v>
      </c>
      <c r="B35" s="363" t="s">
        <v>199</v>
      </c>
      <c r="C35" s="363"/>
      <c r="D35" s="411">
        <v>4.6609999999999996</v>
      </c>
      <c r="E35" s="411">
        <v>6.266</v>
      </c>
      <c r="F35" s="411">
        <v>4.5599999999999996</v>
      </c>
      <c r="G35" s="411">
        <v>7.1840000000000002</v>
      </c>
      <c r="H35" s="411">
        <v>6.8120000000000003</v>
      </c>
      <c r="I35" s="411">
        <v>3.6949999999999998</v>
      </c>
      <c r="J35" s="411">
        <v>3.1890000000000001</v>
      </c>
      <c r="K35" s="411">
        <v>4.3179999999999996</v>
      </c>
      <c r="L35" s="411">
        <v>3.48</v>
      </c>
      <c r="M35" s="411">
        <v>2.694</v>
      </c>
      <c r="N35" s="411">
        <v>6.1150000000000002</v>
      </c>
      <c r="O35" s="411">
        <v>5.9569999999999999</v>
      </c>
      <c r="P35" s="411">
        <v>2.8220000000000001</v>
      </c>
      <c r="Q35" s="411">
        <v>2.387</v>
      </c>
      <c r="R35" s="411">
        <v>1.486</v>
      </c>
      <c r="S35" s="411">
        <v>5.7130000000000001</v>
      </c>
      <c r="T35" s="411">
        <v>2.944</v>
      </c>
      <c r="U35" s="411">
        <v>42.442999999999998</v>
      </c>
      <c r="V35" s="411">
        <v>180.274</v>
      </c>
      <c r="W35" s="411">
        <v>206.40100000000001</v>
      </c>
      <c r="X35" s="411">
        <v>286.40800000000002</v>
      </c>
      <c r="Y35" s="411">
        <v>30.742000000000001</v>
      </c>
      <c r="Z35" s="411">
        <v>82.963999999999999</v>
      </c>
      <c r="AA35" s="411">
        <v>118.81</v>
      </c>
      <c r="AB35" s="411">
        <v>83.86</v>
      </c>
      <c r="AC35" s="411">
        <v>14.475</v>
      </c>
      <c r="AD35" s="411">
        <v>12.846</v>
      </c>
      <c r="AE35" s="411">
        <v>46.531999999999996</v>
      </c>
      <c r="AF35" s="411">
        <v>5.7469999999999999</v>
      </c>
      <c r="AG35" s="411">
        <v>2.1520000000000001</v>
      </c>
      <c r="AH35" s="411">
        <v>2.0529999999999999</v>
      </c>
      <c r="AI35" s="661">
        <v>10</v>
      </c>
      <c r="AJ35" s="411">
        <v>18</v>
      </c>
      <c r="AK35" s="662">
        <v>1</v>
      </c>
      <c r="AL35" s="663">
        <v>4</v>
      </c>
      <c r="AM35" s="663">
        <v>2</v>
      </c>
      <c r="AN35" s="412">
        <v>2</v>
      </c>
      <c r="AO35" s="412">
        <v>1</v>
      </c>
      <c r="AP35" s="412">
        <v>1</v>
      </c>
      <c r="AQ35" s="414">
        <v>4</v>
      </c>
    </row>
    <row r="36" spans="1:74">
      <c r="A36" s="355" t="s">
        <v>58</v>
      </c>
      <c r="B36" s="356" t="s">
        <v>200</v>
      </c>
      <c r="C36" s="356"/>
      <c r="D36" s="411">
        <v>252.07</v>
      </c>
      <c r="E36" s="411">
        <v>231.37100000000001</v>
      </c>
      <c r="F36" s="411">
        <v>290.97899999999998</v>
      </c>
      <c r="G36" s="411">
        <v>403.21800000000002</v>
      </c>
      <c r="H36" s="411">
        <v>440.06099999999998</v>
      </c>
      <c r="I36" s="411">
        <v>411.35700000000003</v>
      </c>
      <c r="J36" s="411">
        <v>515.71500000000003</v>
      </c>
      <c r="K36" s="411">
        <v>582.80200000000002</v>
      </c>
      <c r="L36" s="411">
        <v>619.24400000000003</v>
      </c>
      <c r="M36" s="411">
        <v>637.64099999999996</v>
      </c>
      <c r="N36" s="411">
        <v>644.27499999999998</v>
      </c>
      <c r="O36" s="411">
        <v>543.92200000000003</v>
      </c>
      <c r="P36" s="411">
        <v>653.09799999999996</v>
      </c>
      <c r="Q36" s="411">
        <v>683.23599999999999</v>
      </c>
      <c r="R36" s="411">
        <v>722.26700000000005</v>
      </c>
      <c r="S36" s="411">
        <v>628.13900000000001</v>
      </c>
      <c r="T36" s="411">
        <v>625.65700000000004</v>
      </c>
      <c r="U36" s="411">
        <v>713.21500000000003</v>
      </c>
      <c r="V36" s="411">
        <v>629.18899999999996</v>
      </c>
      <c r="W36" s="411">
        <v>550.83600000000001</v>
      </c>
      <c r="X36" s="411">
        <v>520.976</v>
      </c>
      <c r="Y36" s="411">
        <v>782.64800000000002</v>
      </c>
      <c r="Z36" s="411">
        <v>747.21199999999999</v>
      </c>
      <c r="AA36" s="411">
        <v>863.67700000000002</v>
      </c>
      <c r="AB36" s="411">
        <v>905.27300000000002</v>
      </c>
      <c r="AC36" s="411">
        <v>964.06600000000003</v>
      </c>
      <c r="AD36" s="411">
        <v>921.86199999999997</v>
      </c>
      <c r="AE36" s="411">
        <v>901.64499999999998</v>
      </c>
      <c r="AF36" s="411">
        <v>940.19899999999996</v>
      </c>
      <c r="AG36" s="411">
        <v>1089.797</v>
      </c>
      <c r="AH36" s="411">
        <v>1165.4829999999999</v>
      </c>
      <c r="AI36" s="661">
        <v>1779</v>
      </c>
      <c r="AJ36" s="411">
        <v>1728</v>
      </c>
      <c r="AK36" s="662">
        <v>1723</v>
      </c>
      <c r="AL36" s="663">
        <v>1693</v>
      </c>
      <c r="AM36" s="663">
        <v>1767</v>
      </c>
      <c r="AN36" s="412">
        <v>1900</v>
      </c>
      <c r="AO36" s="412">
        <v>1996</v>
      </c>
      <c r="AP36" s="412">
        <v>2187</v>
      </c>
      <c r="AQ36" s="414">
        <v>2135</v>
      </c>
    </row>
    <row r="37" spans="1:74">
      <c r="A37" s="355" t="s">
        <v>59</v>
      </c>
      <c r="B37" s="356" t="s">
        <v>201</v>
      </c>
      <c r="C37" s="356"/>
      <c r="D37" s="411">
        <v>728</v>
      </c>
      <c r="E37" s="411">
        <v>707.89499999999998</v>
      </c>
      <c r="F37" s="411">
        <v>651.851</v>
      </c>
      <c r="G37" s="411">
        <v>575.42600000000004</v>
      </c>
      <c r="H37" s="411">
        <v>622.04399999999998</v>
      </c>
      <c r="I37" s="411">
        <v>653.26400000000001</v>
      </c>
      <c r="J37" s="411">
        <v>623.51800000000003</v>
      </c>
      <c r="K37" s="411">
        <v>613.88099999999997</v>
      </c>
      <c r="L37" s="411">
        <v>828.31399999999996</v>
      </c>
      <c r="M37" s="411">
        <v>886.35599999999999</v>
      </c>
      <c r="N37" s="411">
        <v>865.89400000000001</v>
      </c>
      <c r="O37" s="411">
        <v>737.27</v>
      </c>
      <c r="P37" s="411">
        <v>993.20500000000004</v>
      </c>
      <c r="Q37" s="411">
        <v>957.61699999999996</v>
      </c>
      <c r="R37" s="411">
        <v>907.82799999999997</v>
      </c>
      <c r="S37" s="411">
        <v>1054.1289999999999</v>
      </c>
      <c r="T37" s="411">
        <v>1280.3030000000001</v>
      </c>
      <c r="U37" s="411">
        <v>960.38400000000001</v>
      </c>
      <c r="V37" s="411">
        <v>1178.527</v>
      </c>
      <c r="W37" s="411">
        <v>941.46299999999997</v>
      </c>
      <c r="X37" s="411">
        <v>1458.1469999999999</v>
      </c>
      <c r="Y37" s="411">
        <v>1437.59</v>
      </c>
      <c r="Z37" s="411">
        <v>1161.711</v>
      </c>
      <c r="AA37" s="411">
        <v>1122.2650000000001</v>
      </c>
      <c r="AB37" s="411">
        <v>1550.9659999999999</v>
      </c>
      <c r="AC37" s="411">
        <v>1415.6369999999999</v>
      </c>
      <c r="AD37" s="411">
        <v>1534.61</v>
      </c>
      <c r="AE37" s="411">
        <v>1410.777</v>
      </c>
      <c r="AF37" s="411">
        <v>2356.6779999999999</v>
      </c>
      <c r="AG37" s="411">
        <v>2664.067</v>
      </c>
      <c r="AH37" s="411">
        <v>2637.587</v>
      </c>
      <c r="AI37" s="661">
        <v>3033.4999999999995</v>
      </c>
      <c r="AJ37" s="411">
        <v>3215</v>
      </c>
      <c r="AK37" s="662">
        <v>3111</v>
      </c>
      <c r="AL37" s="663">
        <v>3055</v>
      </c>
      <c r="AM37" s="703">
        <v>3111</v>
      </c>
      <c r="AN37" s="412">
        <v>3695</v>
      </c>
      <c r="AO37" s="412">
        <v>3780</v>
      </c>
      <c r="AP37" s="412">
        <v>3673</v>
      </c>
      <c r="AQ37" s="414">
        <v>3455</v>
      </c>
    </row>
    <row r="38" spans="1:74" s="74" customFormat="1" ht="15">
      <c r="A38" s="469" t="s">
        <v>60</v>
      </c>
      <c r="B38" s="470" t="s">
        <v>202</v>
      </c>
      <c r="C38" s="470"/>
      <c r="D38" s="471">
        <v>139388.45300000001</v>
      </c>
      <c r="E38" s="471">
        <v>142258.51199999999</v>
      </c>
      <c r="F38" s="471">
        <v>146579.427</v>
      </c>
      <c r="G38" s="471">
        <v>156478.685</v>
      </c>
      <c r="H38" s="471">
        <v>156695.77499999999</v>
      </c>
      <c r="I38" s="471">
        <v>165699.34400000001</v>
      </c>
      <c r="J38" s="471">
        <v>166859.15900000001</v>
      </c>
      <c r="K38" s="471">
        <v>169660.50099999999</v>
      </c>
      <c r="L38" s="471">
        <v>172693.579</v>
      </c>
      <c r="M38" s="471">
        <v>178701.86</v>
      </c>
      <c r="N38" s="471">
        <v>186996.94</v>
      </c>
      <c r="O38" s="471">
        <v>190748.03700000001</v>
      </c>
      <c r="P38" s="471">
        <v>189419.296</v>
      </c>
      <c r="Q38" s="471">
        <v>190117.72099999999</v>
      </c>
      <c r="R38" s="471">
        <v>192922.372</v>
      </c>
      <c r="S38" s="471">
        <v>193150.67499999999</v>
      </c>
      <c r="T38" s="471">
        <v>196793.12400000001</v>
      </c>
      <c r="U38" s="471">
        <v>197865.47200000001</v>
      </c>
      <c r="V38" s="471">
        <v>201251.35699999999</v>
      </c>
      <c r="W38" s="471">
        <v>199231.11</v>
      </c>
      <c r="X38" s="471">
        <v>203151.99</v>
      </c>
      <c r="Y38" s="471">
        <v>242289.427</v>
      </c>
      <c r="Z38" s="471">
        <v>244446.95800000001</v>
      </c>
      <c r="AA38" s="471">
        <v>248700.58900000001</v>
      </c>
      <c r="AB38" s="471">
        <v>256583.92600000001</v>
      </c>
      <c r="AC38" s="471">
        <v>255523.62700000001</v>
      </c>
      <c r="AD38" s="471">
        <v>254920.43</v>
      </c>
      <c r="AE38" s="471">
        <v>266939.91899999999</v>
      </c>
      <c r="AF38" s="471">
        <v>267090.76799999998</v>
      </c>
      <c r="AG38" s="471">
        <v>272442.08899999998</v>
      </c>
      <c r="AH38" s="471">
        <v>275607.78999999998</v>
      </c>
      <c r="AI38" s="471">
        <v>285572</v>
      </c>
      <c r="AJ38" s="471">
        <v>288516</v>
      </c>
      <c r="AK38" s="471">
        <v>286389</v>
      </c>
      <c r="AL38" s="471">
        <v>289961</v>
      </c>
      <c r="AM38" s="471">
        <v>296912</v>
      </c>
      <c r="AN38" s="471">
        <f>AN5+AN6+AN10+AN11+AN12+AN13+AN14+AN24+AN28+AN29+AN30+AN31+AN32+AN33+AN34+AN35+AN37+AN36</f>
        <v>295095</v>
      </c>
      <c r="AO38" s="471">
        <f t="shared" ref="AO38:AP38" si="0">AO5+AO6+AO10+AO11+AO12+AO13+AO14+AO24+AO28+AO29+AO30+AO31+AO32+AO33+AO34+AO35+AO37+AO36</f>
        <v>298667</v>
      </c>
      <c r="AP38" s="471">
        <f t="shared" si="0"/>
        <v>306082</v>
      </c>
      <c r="AQ38" s="473">
        <v>324255</v>
      </c>
      <c r="AR38" s="187"/>
      <c r="AS38" s="266"/>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row>
    <row r="39" spans="1:74" s="116" customFormat="1" ht="15.75" thickBot="1">
      <c r="A39" s="751"/>
      <c r="B39" s="752"/>
      <c r="C39" s="752"/>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4"/>
      <c r="AR39" s="204"/>
      <c r="AS39" s="227"/>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row>
    <row r="40" spans="1:74" s="74" customFormat="1" ht="15.75" customHeight="1" thickBot="1">
      <c r="A40" s="343" t="s">
        <v>365</v>
      </c>
      <c r="B40" s="305" t="s">
        <v>182</v>
      </c>
      <c r="C40" s="305"/>
      <c r="D40" s="305" t="s">
        <v>24</v>
      </c>
      <c r="E40" s="305" t="s">
        <v>25</v>
      </c>
      <c r="F40" s="305" t="s">
        <v>26</v>
      </c>
      <c r="G40" s="305" t="s">
        <v>27</v>
      </c>
      <c r="H40" s="305" t="s">
        <v>28</v>
      </c>
      <c r="I40" s="305" t="s">
        <v>29</v>
      </c>
      <c r="J40" s="305" t="s">
        <v>30</v>
      </c>
      <c r="K40" s="305" t="s">
        <v>31</v>
      </c>
      <c r="L40" s="305" t="s">
        <v>32</v>
      </c>
      <c r="M40" s="305" t="s">
        <v>33</v>
      </c>
      <c r="N40" s="305" t="s">
        <v>34</v>
      </c>
      <c r="O40" s="305" t="s">
        <v>35</v>
      </c>
      <c r="P40" s="305" t="s">
        <v>36</v>
      </c>
      <c r="Q40" s="305" t="s">
        <v>37</v>
      </c>
      <c r="R40" s="305" t="s">
        <v>38</v>
      </c>
      <c r="S40" s="305" t="s">
        <v>39</v>
      </c>
      <c r="T40" s="305" t="s">
        <v>40</v>
      </c>
      <c r="U40" s="305" t="s">
        <v>41</v>
      </c>
      <c r="V40" s="305" t="s">
        <v>42</v>
      </c>
      <c r="W40" s="305" t="s">
        <v>43</v>
      </c>
      <c r="X40" s="305" t="s">
        <v>110</v>
      </c>
      <c r="Y40" s="305" t="s">
        <v>111</v>
      </c>
      <c r="Z40" s="305" t="s">
        <v>113</v>
      </c>
      <c r="AA40" s="306" t="s">
        <v>120</v>
      </c>
      <c r="AB40" s="306" t="s">
        <v>114</v>
      </c>
      <c r="AC40" s="306" t="s">
        <v>116</v>
      </c>
      <c r="AD40" s="306" t="s">
        <v>117</v>
      </c>
      <c r="AE40" s="306" t="s">
        <v>119</v>
      </c>
      <c r="AF40" s="306" t="s">
        <v>121</v>
      </c>
      <c r="AG40" s="306" t="s">
        <v>123</v>
      </c>
      <c r="AH40" s="306" t="s">
        <v>124</v>
      </c>
      <c r="AI40" s="306" t="s">
        <v>125</v>
      </c>
      <c r="AJ40" s="306" t="s">
        <v>127</v>
      </c>
      <c r="AK40" s="306" t="s">
        <v>128</v>
      </c>
      <c r="AL40" s="306" t="s">
        <v>129</v>
      </c>
      <c r="AM40" s="306" t="s">
        <v>130</v>
      </c>
      <c r="AN40" s="306" t="s">
        <v>131</v>
      </c>
      <c r="AO40" s="306" t="s">
        <v>223</v>
      </c>
      <c r="AP40" s="306" t="s">
        <v>224</v>
      </c>
      <c r="AQ40" s="344" t="s">
        <v>511</v>
      </c>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row>
    <row r="41" spans="1:74">
      <c r="A41" s="350" t="s">
        <v>61</v>
      </c>
      <c r="B41" s="739" t="s">
        <v>203</v>
      </c>
      <c r="C41" s="739"/>
      <c r="D41" s="446">
        <v>2.3679999999999999</v>
      </c>
      <c r="E41" s="446">
        <v>455.41699999999997</v>
      </c>
      <c r="F41" s="446">
        <v>460.95600000000002</v>
      </c>
      <c r="G41" s="446">
        <v>6.5810000000000004</v>
      </c>
      <c r="H41" s="446">
        <v>3.609</v>
      </c>
      <c r="I41" s="446">
        <v>3.78</v>
      </c>
      <c r="J41" s="446">
        <v>3.331</v>
      </c>
      <c r="K41" s="446">
        <v>3.37</v>
      </c>
      <c r="L41" s="446">
        <v>2.5169999999999999</v>
      </c>
      <c r="M41" s="446">
        <v>2.3679999999999999</v>
      </c>
      <c r="N41" s="446">
        <v>3.6890000000000001</v>
      </c>
      <c r="O41" s="446">
        <v>3.4540000000000002</v>
      </c>
      <c r="P41" s="446">
        <v>2.9489999999999998</v>
      </c>
      <c r="Q41" s="446">
        <v>2.8679999999999999</v>
      </c>
      <c r="R41" s="446">
        <v>2.8559999999999999</v>
      </c>
      <c r="S41" s="446">
        <v>3.1280000000000001</v>
      </c>
      <c r="T41" s="446">
        <v>2.9089999999999998</v>
      </c>
      <c r="U41" s="446">
        <v>3.8580000000000001</v>
      </c>
      <c r="V41" s="446">
        <v>4.149</v>
      </c>
      <c r="W41" s="446">
        <v>4.0650000000000004</v>
      </c>
      <c r="X41" s="446">
        <v>3.91</v>
      </c>
      <c r="Y41" s="446">
        <v>3.7389999999999999</v>
      </c>
      <c r="Z41" s="446">
        <v>4.6040000000000001</v>
      </c>
      <c r="AA41" s="446">
        <v>4.4269999999999996</v>
      </c>
      <c r="AB41" s="744">
        <v>4.1429999999999998</v>
      </c>
      <c r="AC41" s="744">
        <v>4.1580000000000004</v>
      </c>
      <c r="AD41" s="744">
        <v>4.5410000000000004</v>
      </c>
      <c r="AE41" s="744">
        <v>4.2190000000000003</v>
      </c>
      <c r="AF41" s="744">
        <v>3.9889999999999999</v>
      </c>
      <c r="AG41" s="744">
        <v>4.9349999999999996</v>
      </c>
      <c r="AH41" s="744">
        <v>4.2690000000000001</v>
      </c>
      <c r="AI41" s="745">
        <v>4.0999999999999996</v>
      </c>
      <c r="AJ41" s="446">
        <v>4</v>
      </c>
      <c r="AK41" s="741">
        <v>4</v>
      </c>
      <c r="AL41" s="746">
        <v>5</v>
      </c>
      <c r="AM41" s="747">
        <v>6</v>
      </c>
      <c r="AN41" s="447">
        <v>5</v>
      </c>
      <c r="AO41" s="446">
        <v>5</v>
      </c>
      <c r="AP41" s="446">
        <v>6</v>
      </c>
      <c r="AQ41" s="449">
        <v>7</v>
      </c>
    </row>
    <row r="42" spans="1:74">
      <c r="A42" s="355" t="s">
        <v>62</v>
      </c>
      <c r="B42" s="678" t="s">
        <v>204</v>
      </c>
      <c r="C42" s="678"/>
      <c r="D42" s="411">
        <v>6108.1949999999997</v>
      </c>
      <c r="E42" s="411">
        <v>5708.5690000000004</v>
      </c>
      <c r="F42" s="411">
        <v>5705.1310000000003</v>
      </c>
      <c r="G42" s="411">
        <v>5146.0479999999998</v>
      </c>
      <c r="H42" s="411">
        <v>6034.46</v>
      </c>
      <c r="I42" s="411">
        <v>6312.991</v>
      </c>
      <c r="J42" s="411">
        <v>5732.9520000000002</v>
      </c>
      <c r="K42" s="411">
        <v>5233.875</v>
      </c>
      <c r="L42" s="411">
        <v>5524.0820000000003</v>
      </c>
      <c r="M42" s="411">
        <v>6220.0680000000002</v>
      </c>
      <c r="N42" s="411">
        <v>6517.94</v>
      </c>
      <c r="O42" s="411">
        <v>6239.1639999999998</v>
      </c>
      <c r="P42" s="411">
        <v>7467.02</v>
      </c>
      <c r="Q42" s="411">
        <v>5740.84</v>
      </c>
      <c r="R42" s="411">
        <v>3632.951</v>
      </c>
      <c r="S42" s="411">
        <v>3733.9470000000001</v>
      </c>
      <c r="T42" s="411">
        <v>4056.8029999999999</v>
      </c>
      <c r="U42" s="411">
        <v>3876.9760000000001</v>
      </c>
      <c r="V42" s="411">
        <v>5728.8549999999996</v>
      </c>
      <c r="W42" s="411">
        <v>3747.337</v>
      </c>
      <c r="X42" s="411">
        <v>4370.9690000000001</v>
      </c>
      <c r="Y42" s="411">
        <v>19239.394</v>
      </c>
      <c r="Z42" s="411">
        <v>19771.511999999999</v>
      </c>
      <c r="AA42" s="411">
        <v>19394.482</v>
      </c>
      <c r="AB42" s="704">
        <v>21570.055</v>
      </c>
      <c r="AC42" s="704">
        <v>20101.55</v>
      </c>
      <c r="AD42" s="704">
        <v>20332.686000000002</v>
      </c>
      <c r="AE42" s="704">
        <v>18288.796999999999</v>
      </c>
      <c r="AF42" s="704">
        <v>20246.621999999999</v>
      </c>
      <c r="AG42" s="704">
        <v>18429.253000000001</v>
      </c>
      <c r="AH42" s="704">
        <v>19168.026000000002</v>
      </c>
      <c r="AI42" s="533">
        <v>19208.400000000009</v>
      </c>
      <c r="AJ42" s="411">
        <v>18162</v>
      </c>
      <c r="AK42" s="662">
        <v>16703</v>
      </c>
      <c r="AL42" s="705">
        <v>11098</v>
      </c>
      <c r="AM42" s="706">
        <v>4558</v>
      </c>
      <c r="AN42" s="412">
        <v>1866</v>
      </c>
      <c r="AO42" s="411">
        <v>2090</v>
      </c>
      <c r="AP42" s="411">
        <v>1923</v>
      </c>
      <c r="AQ42" s="414">
        <v>2001</v>
      </c>
    </row>
    <row r="43" spans="1:74">
      <c r="A43" s="677" t="s">
        <v>63</v>
      </c>
      <c r="B43" s="678" t="s">
        <v>186</v>
      </c>
      <c r="C43" s="678"/>
      <c r="D43" s="411">
        <v>4063.239</v>
      </c>
      <c r="E43" s="411">
        <v>2276.2460000000001</v>
      </c>
      <c r="F43" s="411">
        <v>2212.511</v>
      </c>
      <c r="G43" s="411">
        <v>1544.37</v>
      </c>
      <c r="H43" s="411">
        <v>1781.7619999999999</v>
      </c>
      <c r="I43" s="411">
        <v>3253.5990000000002</v>
      </c>
      <c r="J43" s="411">
        <v>1939.6569999999999</v>
      </c>
      <c r="K43" s="411">
        <v>2404.7950000000001</v>
      </c>
      <c r="L43" s="411">
        <v>1645.249</v>
      </c>
      <c r="M43" s="411">
        <v>2258.8119999999999</v>
      </c>
      <c r="N43" s="411">
        <v>3009.4679999999998</v>
      </c>
      <c r="O43" s="411">
        <v>2645.2809999999999</v>
      </c>
      <c r="P43" s="411">
        <v>2480.8209999999999</v>
      </c>
      <c r="Q43" s="411">
        <v>2759.72</v>
      </c>
      <c r="R43" s="411">
        <v>3356.7510000000002</v>
      </c>
      <c r="S43" s="411">
        <v>3964.098</v>
      </c>
      <c r="T43" s="411">
        <v>3577.3490000000002</v>
      </c>
      <c r="U43" s="411">
        <v>3684.6729999999998</v>
      </c>
      <c r="V43" s="411">
        <v>3283.884</v>
      </c>
      <c r="W43" s="411">
        <v>3328.2109999999998</v>
      </c>
      <c r="X43" s="411">
        <v>3080.6880000000001</v>
      </c>
      <c r="Y43" s="411">
        <v>3567.16</v>
      </c>
      <c r="Z43" s="411">
        <v>4450.0529999999999</v>
      </c>
      <c r="AA43" s="411">
        <v>5545.1409999999996</v>
      </c>
      <c r="AB43" s="704">
        <v>6300.1409999999996</v>
      </c>
      <c r="AC43" s="704">
        <v>5096.87</v>
      </c>
      <c r="AD43" s="704">
        <v>4855.9430000000002</v>
      </c>
      <c r="AE43" s="704">
        <v>4624.7669999999998</v>
      </c>
      <c r="AF43" s="704">
        <v>3292.087</v>
      </c>
      <c r="AG43" s="704">
        <v>3580.9929999999999</v>
      </c>
      <c r="AH43" s="704">
        <v>3403.5410000000002</v>
      </c>
      <c r="AI43" s="533">
        <v>4197.9000000000005</v>
      </c>
      <c r="AJ43" s="411">
        <v>3805</v>
      </c>
      <c r="AK43" s="662">
        <v>3023</v>
      </c>
      <c r="AL43" s="705">
        <v>2554</v>
      </c>
      <c r="AM43" s="749"/>
      <c r="AN43" s="749"/>
      <c r="AO43" s="749"/>
      <c r="AP43" s="749"/>
      <c r="AQ43" s="750"/>
    </row>
    <row r="44" spans="1:74">
      <c r="A44" s="677" t="s">
        <v>135</v>
      </c>
      <c r="B44" s="707" t="s">
        <v>187</v>
      </c>
      <c r="C44" s="70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708"/>
      <c r="AC44" s="708"/>
      <c r="AD44" s="708"/>
      <c r="AE44" s="708"/>
      <c r="AF44" s="708"/>
      <c r="AG44" s="708"/>
      <c r="AH44" s="708"/>
      <c r="AI44" s="709"/>
      <c r="AJ44" s="427"/>
      <c r="AK44" s="710"/>
      <c r="AL44" s="710"/>
      <c r="AM44" s="706">
        <v>204</v>
      </c>
      <c r="AN44" s="412">
        <v>239</v>
      </c>
      <c r="AO44" s="412">
        <v>440</v>
      </c>
      <c r="AP44" s="412">
        <v>492</v>
      </c>
      <c r="AQ44" s="664">
        <v>471</v>
      </c>
    </row>
    <row r="45" spans="1:74">
      <c r="A45" s="677" t="s">
        <v>134</v>
      </c>
      <c r="B45" s="707" t="s">
        <v>188</v>
      </c>
      <c r="C45" s="70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708"/>
      <c r="AC45" s="708"/>
      <c r="AD45" s="708"/>
      <c r="AE45" s="708"/>
      <c r="AF45" s="708"/>
      <c r="AG45" s="708"/>
      <c r="AH45" s="708"/>
      <c r="AI45" s="709"/>
      <c r="AJ45" s="427"/>
      <c r="AK45" s="710"/>
      <c r="AL45" s="710"/>
      <c r="AM45" s="706">
        <v>2536</v>
      </c>
      <c r="AN45" s="412">
        <v>1994</v>
      </c>
      <c r="AO45" s="412">
        <v>2141</v>
      </c>
      <c r="AP45" s="412">
        <v>2387</v>
      </c>
      <c r="AQ45" s="664">
        <v>2655</v>
      </c>
    </row>
    <row r="46" spans="1:74" s="44" customFormat="1">
      <c r="A46" s="695" t="s">
        <v>104</v>
      </c>
      <c r="B46" s="696" t="s">
        <v>152</v>
      </c>
      <c r="C46" s="696"/>
      <c r="D46" s="424">
        <v>110372.15700000001</v>
      </c>
      <c r="E46" s="424">
        <v>114115.689</v>
      </c>
      <c r="F46" s="424">
        <v>117887.618</v>
      </c>
      <c r="G46" s="424">
        <v>125072.93399999999</v>
      </c>
      <c r="H46" s="424">
        <v>122950.72500000001</v>
      </c>
      <c r="I46" s="424">
        <v>129259.485</v>
      </c>
      <c r="J46" s="424">
        <v>131631.37</v>
      </c>
      <c r="K46" s="424">
        <v>132981.215</v>
      </c>
      <c r="L46" s="424">
        <v>135565.28899999999</v>
      </c>
      <c r="M46" s="424">
        <v>139093.383</v>
      </c>
      <c r="N46" s="424">
        <v>143952.05600000001</v>
      </c>
      <c r="O46" s="424">
        <v>146473.897</v>
      </c>
      <c r="P46" s="424">
        <v>144202.35200000001</v>
      </c>
      <c r="Q46" s="424">
        <v>146986.505</v>
      </c>
      <c r="R46" s="424">
        <v>145444.28700000001</v>
      </c>
      <c r="S46" s="424">
        <v>146193.57</v>
      </c>
      <c r="T46" s="424">
        <v>148446.14499999999</v>
      </c>
      <c r="U46" s="424">
        <v>149242.633</v>
      </c>
      <c r="V46" s="424">
        <v>150857.21</v>
      </c>
      <c r="W46" s="424">
        <v>151904.18100000001</v>
      </c>
      <c r="X46" s="424">
        <v>152672.685</v>
      </c>
      <c r="Y46" s="424">
        <v>171378.386</v>
      </c>
      <c r="Z46" s="424">
        <v>171173.601</v>
      </c>
      <c r="AA46" s="424">
        <v>174386.766</v>
      </c>
      <c r="AB46" s="711">
        <v>178367.476</v>
      </c>
      <c r="AC46" s="711">
        <v>179137.77799999999</v>
      </c>
      <c r="AD46" s="711">
        <v>178256.829</v>
      </c>
      <c r="AE46" s="711">
        <v>195758.46100000001</v>
      </c>
      <c r="AF46" s="711">
        <v>194856.15299999999</v>
      </c>
      <c r="AG46" s="711">
        <v>199391.53200000001</v>
      </c>
      <c r="AH46" s="711">
        <v>201180.557</v>
      </c>
      <c r="AI46" s="712">
        <v>205066.4</v>
      </c>
      <c r="AJ46" s="424">
        <v>207116</v>
      </c>
      <c r="AK46" s="713">
        <v>207248</v>
      </c>
      <c r="AL46" s="714">
        <v>209683</v>
      </c>
      <c r="AM46" s="715">
        <v>220917</v>
      </c>
      <c r="AN46" s="421">
        <v>218715</v>
      </c>
      <c r="AO46" s="421">
        <v>219208</v>
      </c>
      <c r="AP46" s="421">
        <v>225617</v>
      </c>
      <c r="AQ46" s="481">
        <v>242816</v>
      </c>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row>
    <row r="47" spans="1:74">
      <c r="A47" s="716" t="s">
        <v>112</v>
      </c>
      <c r="B47" s="678" t="s">
        <v>205</v>
      </c>
      <c r="C47" s="678"/>
      <c r="D47" s="427"/>
      <c r="E47" s="427"/>
      <c r="F47" s="427"/>
      <c r="G47" s="427"/>
      <c r="H47" s="427"/>
      <c r="I47" s="427"/>
      <c r="J47" s="427"/>
      <c r="K47" s="427"/>
      <c r="L47" s="427"/>
      <c r="M47" s="427"/>
      <c r="N47" s="427"/>
      <c r="O47" s="427"/>
      <c r="P47" s="427"/>
      <c r="Q47" s="427"/>
      <c r="R47" s="427"/>
      <c r="S47" s="427"/>
      <c r="T47" s="427"/>
      <c r="U47" s="427"/>
      <c r="V47" s="427"/>
      <c r="W47" s="427"/>
      <c r="X47" s="427"/>
      <c r="Y47" s="411">
        <v>2541.2539999999999</v>
      </c>
      <c r="Z47" s="411">
        <v>2637.7289999999998</v>
      </c>
      <c r="AA47" s="411">
        <v>2679.7220000000002</v>
      </c>
      <c r="AB47" s="704">
        <v>2790.1950000000002</v>
      </c>
      <c r="AC47" s="704">
        <v>2587.1799999999998</v>
      </c>
      <c r="AD47" s="704">
        <v>2386.3150000000001</v>
      </c>
      <c r="AE47" s="704">
        <v>2400.4929999999999</v>
      </c>
      <c r="AF47" s="704">
        <v>2428.8760000000002</v>
      </c>
      <c r="AG47" s="704">
        <v>2409.5859999999998</v>
      </c>
      <c r="AH47" s="704">
        <v>2567.6460000000002</v>
      </c>
      <c r="AI47" s="533">
        <v>2943.6000000000004</v>
      </c>
      <c r="AJ47" s="411">
        <v>3005</v>
      </c>
      <c r="AK47" s="662">
        <v>3031</v>
      </c>
      <c r="AL47" s="705">
        <v>3064</v>
      </c>
      <c r="AM47" s="706">
        <v>882</v>
      </c>
      <c r="AN47" s="412">
        <v>1257</v>
      </c>
      <c r="AO47" s="412">
        <v>1383</v>
      </c>
      <c r="AP47" s="412">
        <v>1185</v>
      </c>
      <c r="AQ47" s="664">
        <v>1292</v>
      </c>
    </row>
    <row r="48" spans="1:74" ht="27">
      <c r="A48" s="677" t="s">
        <v>107</v>
      </c>
      <c r="B48" s="678" t="s">
        <v>206</v>
      </c>
      <c r="C48" s="678"/>
      <c r="D48" s="427"/>
      <c r="E48" s="427"/>
      <c r="F48" s="427"/>
      <c r="G48" s="427"/>
      <c r="H48" s="427"/>
      <c r="I48" s="427"/>
      <c r="J48" s="427"/>
      <c r="K48" s="427"/>
      <c r="L48" s="427"/>
      <c r="M48" s="427"/>
      <c r="N48" s="427"/>
      <c r="O48" s="427"/>
      <c r="P48" s="427"/>
      <c r="Q48" s="427"/>
      <c r="R48" s="427"/>
      <c r="S48" s="427"/>
      <c r="T48" s="427"/>
      <c r="U48" s="427"/>
      <c r="V48" s="427"/>
      <c r="W48" s="411">
        <v>2.88</v>
      </c>
      <c r="X48" s="411">
        <v>2.2160000000000002</v>
      </c>
      <c r="Y48" s="411">
        <v>1.671</v>
      </c>
      <c r="Z48" s="411">
        <v>2.4</v>
      </c>
      <c r="AA48" s="411">
        <v>34.963999999999999</v>
      </c>
      <c r="AB48" s="704">
        <v>47.792999999999999</v>
      </c>
      <c r="AC48" s="704">
        <v>68.552999999999997</v>
      </c>
      <c r="AD48" s="704">
        <v>92.165999999999997</v>
      </c>
      <c r="AE48" s="708"/>
      <c r="AF48" s="708"/>
      <c r="AG48" s="708"/>
      <c r="AH48" s="708"/>
      <c r="AI48" s="708"/>
      <c r="AJ48" s="427"/>
      <c r="AK48" s="427"/>
      <c r="AL48" s="427"/>
      <c r="AM48" s="681"/>
      <c r="AN48" s="681"/>
      <c r="AO48" s="681"/>
      <c r="AP48" s="681"/>
      <c r="AQ48" s="683"/>
    </row>
    <row r="49" spans="1:74">
      <c r="A49" s="677" t="s">
        <v>64</v>
      </c>
      <c r="B49" s="678" t="s">
        <v>207</v>
      </c>
      <c r="C49" s="678"/>
      <c r="D49" s="411">
        <v>212.68100000000001</v>
      </c>
      <c r="E49" s="411">
        <v>299.05700000000002</v>
      </c>
      <c r="F49" s="411">
        <v>281.02699999999999</v>
      </c>
      <c r="G49" s="411">
        <v>289.36</v>
      </c>
      <c r="H49" s="411">
        <v>531.54200000000003</v>
      </c>
      <c r="I49" s="411">
        <v>407.43700000000001</v>
      </c>
      <c r="J49" s="411">
        <v>179.155</v>
      </c>
      <c r="K49" s="411">
        <v>3298.8670000000002</v>
      </c>
      <c r="L49" s="411">
        <v>3397.0169999999998</v>
      </c>
      <c r="M49" s="411">
        <v>3457.0569999999998</v>
      </c>
      <c r="N49" s="411">
        <v>6758.8209999999999</v>
      </c>
      <c r="O49" s="411">
        <v>7771.7790000000005</v>
      </c>
      <c r="P49" s="411">
        <v>6615.7870000000003</v>
      </c>
      <c r="Q49" s="411">
        <v>7303.2749999999996</v>
      </c>
      <c r="R49" s="411">
        <v>10766.512000000001</v>
      </c>
      <c r="S49" s="411">
        <v>10270.782999999999</v>
      </c>
      <c r="T49" s="411">
        <v>10924.388000000001</v>
      </c>
      <c r="U49" s="411">
        <v>10939.24</v>
      </c>
      <c r="V49" s="411">
        <v>10658.002</v>
      </c>
      <c r="W49" s="411">
        <v>10546.446</v>
      </c>
      <c r="X49" s="411">
        <v>12693.982</v>
      </c>
      <c r="Y49" s="411">
        <v>12699.200999999999</v>
      </c>
      <c r="Z49" s="411">
        <v>12974.373</v>
      </c>
      <c r="AA49" s="411">
        <v>13300.61</v>
      </c>
      <c r="AB49" s="704">
        <v>13815.938</v>
      </c>
      <c r="AC49" s="704">
        <v>14139.103999999999</v>
      </c>
      <c r="AD49" s="704">
        <v>14114.895</v>
      </c>
      <c r="AE49" s="704">
        <v>9432.973</v>
      </c>
      <c r="AF49" s="704">
        <v>9218.6409999999996</v>
      </c>
      <c r="AG49" s="704">
        <v>10806.669</v>
      </c>
      <c r="AH49" s="704">
        <v>10419.749</v>
      </c>
      <c r="AI49" s="533">
        <v>14493.2</v>
      </c>
      <c r="AJ49" s="411">
        <v>16547</v>
      </c>
      <c r="AK49" s="662">
        <v>16256</v>
      </c>
      <c r="AL49" s="705">
        <v>21970</v>
      </c>
      <c r="AM49" s="412">
        <v>23932</v>
      </c>
      <c r="AN49" s="412">
        <v>26267</v>
      </c>
      <c r="AO49" s="412">
        <v>28079</v>
      </c>
      <c r="AP49" s="412">
        <v>28213</v>
      </c>
      <c r="AQ49" s="664">
        <v>28627</v>
      </c>
    </row>
    <row r="50" spans="1:74" s="20" customFormat="1">
      <c r="A50" s="665" t="s">
        <v>765</v>
      </c>
      <c r="B50" s="673" t="s">
        <v>454</v>
      </c>
      <c r="C50" s="673"/>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717"/>
      <c r="AC50" s="717"/>
      <c r="AD50" s="717"/>
      <c r="AE50" s="717"/>
      <c r="AF50" s="717"/>
      <c r="AG50" s="717"/>
      <c r="AH50" s="717"/>
      <c r="AI50" s="718"/>
      <c r="AJ50" s="667"/>
      <c r="AK50" s="669"/>
      <c r="AL50" s="669"/>
      <c r="AM50" s="693"/>
      <c r="AN50" s="693"/>
      <c r="AO50" s="693"/>
      <c r="AP50" s="693"/>
      <c r="AQ50" s="694"/>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row>
    <row r="51" spans="1:74" s="20" customFormat="1">
      <c r="A51" s="665" t="s">
        <v>759</v>
      </c>
      <c r="B51" s="673" t="s">
        <v>456</v>
      </c>
      <c r="C51" s="673"/>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717"/>
      <c r="AC51" s="717"/>
      <c r="AD51" s="717"/>
      <c r="AE51" s="717"/>
      <c r="AF51" s="717"/>
      <c r="AG51" s="717"/>
      <c r="AH51" s="717"/>
      <c r="AI51" s="718"/>
      <c r="AJ51" s="667"/>
      <c r="AK51" s="669"/>
      <c r="AL51" s="669"/>
      <c r="AM51" s="671">
        <v>23932</v>
      </c>
      <c r="AN51" s="671">
        <v>26267</v>
      </c>
      <c r="AO51" s="671">
        <v>28079</v>
      </c>
      <c r="AP51" s="671">
        <v>28213</v>
      </c>
      <c r="AQ51" s="672">
        <v>28627</v>
      </c>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row>
    <row r="52" spans="1:74">
      <c r="A52" s="355" t="s">
        <v>65</v>
      </c>
      <c r="B52" s="678" t="s">
        <v>208</v>
      </c>
      <c r="C52" s="678"/>
      <c r="D52" s="411">
        <v>1650.146</v>
      </c>
      <c r="E52" s="411">
        <v>1612.0530000000001</v>
      </c>
      <c r="F52" s="411">
        <v>1633.9680000000001</v>
      </c>
      <c r="G52" s="411">
        <v>1612.1780000000001</v>
      </c>
      <c r="H52" s="411">
        <v>1633.26</v>
      </c>
      <c r="I52" s="411">
        <v>1611.3389999999999</v>
      </c>
      <c r="J52" s="411">
        <v>1631.7529999999999</v>
      </c>
      <c r="K52" s="411">
        <v>1611.779</v>
      </c>
      <c r="L52" s="411">
        <v>1631.8710000000001</v>
      </c>
      <c r="M52" s="411">
        <v>1612.902</v>
      </c>
      <c r="N52" s="411">
        <v>1635.3140000000001</v>
      </c>
      <c r="O52" s="411">
        <v>1614.377</v>
      </c>
      <c r="P52" s="411">
        <v>1638.201</v>
      </c>
      <c r="Q52" s="411">
        <v>1614.3689999999999</v>
      </c>
      <c r="R52" s="411">
        <v>3244.1619999999998</v>
      </c>
      <c r="S52" s="411">
        <v>1631.2560000000001</v>
      </c>
      <c r="T52" s="411">
        <v>1604.076</v>
      </c>
      <c r="U52" s="411">
        <v>1624.355</v>
      </c>
      <c r="V52" s="411">
        <v>1603.338</v>
      </c>
      <c r="W52" s="411">
        <v>1620.857</v>
      </c>
      <c r="X52" s="411">
        <v>1603.54</v>
      </c>
      <c r="Y52" s="411">
        <v>2624.5479999999998</v>
      </c>
      <c r="Z52" s="411">
        <v>2378.835</v>
      </c>
      <c r="AA52" s="411">
        <v>2413.9850000000001</v>
      </c>
      <c r="AB52" s="704">
        <v>2478.9490000000001</v>
      </c>
      <c r="AC52" s="704">
        <v>2521.2269999999999</v>
      </c>
      <c r="AD52" s="704">
        <v>2471.6489999999999</v>
      </c>
      <c r="AE52" s="704">
        <v>2499.163</v>
      </c>
      <c r="AF52" s="704">
        <v>2477.4810000000002</v>
      </c>
      <c r="AG52" s="704">
        <v>2527.5790000000002</v>
      </c>
      <c r="AH52" s="704">
        <v>2494.4650000000001</v>
      </c>
      <c r="AI52" s="533">
        <v>2539</v>
      </c>
      <c r="AJ52" s="411">
        <v>2487</v>
      </c>
      <c r="AK52" s="662">
        <v>1617</v>
      </c>
      <c r="AL52" s="705">
        <v>1705</v>
      </c>
      <c r="AM52" s="706">
        <v>1720</v>
      </c>
      <c r="AN52" s="412">
        <v>2707</v>
      </c>
      <c r="AO52" s="412">
        <v>2730</v>
      </c>
      <c r="AP52" s="412">
        <v>2707</v>
      </c>
      <c r="AQ52" s="664">
        <v>2731</v>
      </c>
    </row>
    <row r="53" spans="1:74">
      <c r="A53" s="355" t="s">
        <v>66</v>
      </c>
      <c r="B53" s="678" t="s">
        <v>209</v>
      </c>
      <c r="C53" s="678"/>
      <c r="D53" s="411">
        <v>1779.393</v>
      </c>
      <c r="E53" s="411">
        <v>2803.15</v>
      </c>
      <c r="F53" s="411">
        <v>2896.1950000000002</v>
      </c>
      <c r="G53" s="411">
        <v>1566.623</v>
      </c>
      <c r="H53" s="411">
        <v>1949.6869999999999</v>
      </c>
      <c r="I53" s="411">
        <v>2077.328</v>
      </c>
      <c r="J53" s="411">
        <v>2251.0279999999998</v>
      </c>
      <c r="K53" s="411">
        <v>2092.8339999999998</v>
      </c>
      <c r="L53" s="411">
        <v>2198.6610000000001</v>
      </c>
      <c r="M53" s="411">
        <v>4666.1859999999997</v>
      </c>
      <c r="N53" s="411">
        <v>2354.4319999999998</v>
      </c>
      <c r="O53" s="411">
        <v>2450.7629999999999</v>
      </c>
      <c r="P53" s="411">
        <v>2912.2359999999999</v>
      </c>
      <c r="Q53" s="411">
        <v>2262.7750000000001</v>
      </c>
      <c r="R53" s="411">
        <v>2132.6030000000001</v>
      </c>
      <c r="S53" s="411">
        <v>1983.3989999999999</v>
      </c>
      <c r="T53" s="411">
        <v>2228.4180000000001</v>
      </c>
      <c r="U53" s="411">
        <v>4766.8990000000003</v>
      </c>
      <c r="V53" s="411">
        <v>4618.4009999999998</v>
      </c>
      <c r="W53" s="411">
        <v>2548.9079999999999</v>
      </c>
      <c r="X53" s="411">
        <v>2453.0659999999998</v>
      </c>
      <c r="Y53" s="411">
        <v>3832.6819999999998</v>
      </c>
      <c r="Z53" s="411">
        <v>3679.9630000000002</v>
      </c>
      <c r="AA53" s="411">
        <v>2954.6030000000001</v>
      </c>
      <c r="AB53" s="704">
        <v>2604.0990000000002</v>
      </c>
      <c r="AC53" s="704">
        <v>2755.3850000000002</v>
      </c>
      <c r="AD53" s="704">
        <v>2469.6570000000002</v>
      </c>
      <c r="AE53" s="704">
        <v>3356.17</v>
      </c>
      <c r="AF53" s="704">
        <v>3249.39</v>
      </c>
      <c r="AG53" s="704">
        <v>3293.6750000000002</v>
      </c>
      <c r="AH53" s="704">
        <v>3539.395</v>
      </c>
      <c r="AI53" s="533">
        <v>3987.1000000000004</v>
      </c>
      <c r="AJ53" s="411">
        <v>3716</v>
      </c>
      <c r="AK53" s="662">
        <v>3674</v>
      </c>
      <c r="AL53" s="705">
        <v>3942</v>
      </c>
      <c r="AM53" s="706">
        <v>5062</v>
      </c>
      <c r="AN53" s="412">
        <v>4525</v>
      </c>
      <c r="AO53" s="412">
        <v>5246</v>
      </c>
      <c r="AP53" s="412">
        <v>5088</v>
      </c>
      <c r="AQ53" s="664">
        <v>3685</v>
      </c>
    </row>
    <row r="54" spans="1:74">
      <c r="A54" s="355" t="s">
        <v>67</v>
      </c>
      <c r="B54" s="719" t="s">
        <v>210</v>
      </c>
      <c r="C54" s="719"/>
      <c r="D54" s="411">
        <v>89.85</v>
      </c>
      <c r="E54" s="411">
        <v>131.67699999999999</v>
      </c>
      <c r="F54" s="411">
        <v>180.26300000000001</v>
      </c>
      <c r="G54" s="411">
        <v>181.893</v>
      </c>
      <c r="H54" s="411">
        <v>52.384999999999998</v>
      </c>
      <c r="I54" s="411">
        <v>58.106000000000002</v>
      </c>
      <c r="J54" s="411">
        <v>114.214</v>
      </c>
      <c r="K54" s="411">
        <v>67.744</v>
      </c>
      <c r="L54" s="411">
        <v>66.849999999999994</v>
      </c>
      <c r="M54" s="411">
        <v>147.15600000000001</v>
      </c>
      <c r="N54" s="411">
        <v>230.39099999999999</v>
      </c>
      <c r="O54" s="411">
        <v>78.81</v>
      </c>
      <c r="P54" s="411">
        <v>152.577</v>
      </c>
      <c r="Q54" s="411">
        <v>75.382000000000005</v>
      </c>
      <c r="R54" s="411">
        <v>131.59200000000001</v>
      </c>
      <c r="S54" s="411">
        <v>155.58000000000001</v>
      </c>
      <c r="T54" s="411">
        <v>70.103999999999999</v>
      </c>
      <c r="U54" s="411">
        <v>4.8869999999999996</v>
      </c>
      <c r="V54" s="411">
        <v>5.5919999999999996</v>
      </c>
      <c r="W54" s="411">
        <v>22.594999999999999</v>
      </c>
      <c r="X54" s="411">
        <v>8.9450000000000003</v>
      </c>
      <c r="Y54" s="411">
        <v>22.321000000000002</v>
      </c>
      <c r="Z54" s="411">
        <v>21.777000000000001</v>
      </c>
      <c r="AA54" s="411">
        <v>17.452999999999999</v>
      </c>
      <c r="AB54" s="704">
        <v>13.2</v>
      </c>
      <c r="AC54" s="704">
        <v>78.986999999999995</v>
      </c>
      <c r="AD54" s="704">
        <v>58.527000000000001</v>
      </c>
      <c r="AE54" s="704">
        <v>26.056999999999999</v>
      </c>
      <c r="AF54" s="704">
        <v>17.728999999999999</v>
      </c>
      <c r="AG54" s="704">
        <v>139.608</v>
      </c>
      <c r="AH54" s="704">
        <v>226.77099999999999</v>
      </c>
      <c r="AI54" s="539">
        <v>304.90000000000003</v>
      </c>
      <c r="AJ54" s="411">
        <v>83</v>
      </c>
      <c r="AK54" s="720">
        <v>238</v>
      </c>
      <c r="AL54" s="721">
        <v>374</v>
      </c>
      <c r="AM54" s="706">
        <v>588</v>
      </c>
      <c r="AN54" s="412">
        <v>641</v>
      </c>
      <c r="AO54" s="412">
        <v>158</v>
      </c>
      <c r="AP54" s="412">
        <v>344</v>
      </c>
      <c r="AQ54" s="664">
        <v>371</v>
      </c>
    </row>
    <row r="55" spans="1:74">
      <c r="A55" s="355" t="s">
        <v>68</v>
      </c>
      <c r="B55" s="719" t="s">
        <v>211</v>
      </c>
      <c r="C55" s="719"/>
      <c r="D55" s="411">
        <v>20.120999999999999</v>
      </c>
      <c r="E55" s="411">
        <v>23.373000000000001</v>
      </c>
      <c r="F55" s="411">
        <v>19.242999999999999</v>
      </c>
      <c r="G55" s="411">
        <v>20.533999999999999</v>
      </c>
      <c r="H55" s="411">
        <v>19.609000000000002</v>
      </c>
      <c r="I55" s="411">
        <v>22.106000000000002</v>
      </c>
      <c r="J55" s="411">
        <v>24.806000000000001</v>
      </c>
      <c r="K55" s="411">
        <v>22.763999999999999</v>
      </c>
      <c r="L55" s="411">
        <v>26.379000000000001</v>
      </c>
      <c r="M55" s="411">
        <v>28.445</v>
      </c>
      <c r="N55" s="411">
        <v>29.661000000000001</v>
      </c>
      <c r="O55" s="411">
        <v>29.364000000000001</v>
      </c>
      <c r="P55" s="411">
        <v>29.931000000000001</v>
      </c>
      <c r="Q55" s="411">
        <v>33.673000000000002</v>
      </c>
      <c r="R55" s="411">
        <v>35.567</v>
      </c>
      <c r="S55" s="411">
        <v>41.3</v>
      </c>
      <c r="T55" s="411">
        <v>45.057000000000002</v>
      </c>
      <c r="U55" s="411">
        <v>44.192</v>
      </c>
      <c r="V55" s="411">
        <v>44.634999999999998</v>
      </c>
      <c r="W55" s="411">
        <v>30.434999999999999</v>
      </c>
      <c r="X55" s="411">
        <v>31.495999999999999</v>
      </c>
      <c r="Y55" s="411">
        <v>44.164000000000001</v>
      </c>
      <c r="Z55" s="411">
        <v>36.871000000000002</v>
      </c>
      <c r="AA55" s="411">
        <v>29.047000000000001</v>
      </c>
      <c r="AB55" s="704">
        <v>28.681999999999999</v>
      </c>
      <c r="AC55" s="704">
        <v>26.228999999999999</v>
      </c>
      <c r="AD55" s="704">
        <v>28.847000000000001</v>
      </c>
      <c r="AE55" s="704">
        <v>31.812000000000001</v>
      </c>
      <c r="AF55" s="704">
        <v>31.209</v>
      </c>
      <c r="AG55" s="704">
        <v>32.012</v>
      </c>
      <c r="AH55" s="704">
        <v>29.675000000000001</v>
      </c>
      <c r="AI55" s="533">
        <v>30.9</v>
      </c>
      <c r="AJ55" s="411">
        <v>42</v>
      </c>
      <c r="AK55" s="662">
        <v>47</v>
      </c>
      <c r="AL55" s="705">
        <v>36</v>
      </c>
      <c r="AM55" s="705">
        <v>36</v>
      </c>
      <c r="AN55" s="411">
        <v>33</v>
      </c>
      <c r="AO55" s="412">
        <v>39</v>
      </c>
      <c r="AP55" s="412">
        <v>34</v>
      </c>
      <c r="AQ55" s="664">
        <v>52</v>
      </c>
    </row>
    <row r="56" spans="1:74">
      <c r="A56" s="355" t="s">
        <v>69</v>
      </c>
      <c r="B56" s="719" t="s">
        <v>212</v>
      </c>
      <c r="C56" s="719"/>
      <c r="D56" s="411">
        <v>551.702</v>
      </c>
      <c r="E56" s="411">
        <v>512.37099999999998</v>
      </c>
      <c r="F56" s="411">
        <v>488.38</v>
      </c>
      <c r="G56" s="411">
        <v>602.29399999999998</v>
      </c>
      <c r="H56" s="411">
        <v>557.83299999999997</v>
      </c>
      <c r="I56" s="411">
        <v>544.55100000000004</v>
      </c>
      <c r="J56" s="411">
        <v>519.947</v>
      </c>
      <c r="K56" s="411">
        <v>583.69000000000005</v>
      </c>
      <c r="L56" s="411">
        <v>576.36099999999999</v>
      </c>
      <c r="M56" s="411">
        <v>573.548</v>
      </c>
      <c r="N56" s="411">
        <v>557.548</v>
      </c>
      <c r="O56" s="411">
        <v>619.16399999999999</v>
      </c>
      <c r="P56" s="411">
        <v>589.84400000000005</v>
      </c>
      <c r="Q56" s="411">
        <v>618.71299999999997</v>
      </c>
      <c r="R56" s="411">
        <v>684.26400000000001</v>
      </c>
      <c r="S56" s="411">
        <v>737.20600000000002</v>
      </c>
      <c r="T56" s="411">
        <v>681.75400000000002</v>
      </c>
      <c r="U56" s="411">
        <v>278.45299999999997</v>
      </c>
      <c r="V56" s="411">
        <v>264.154</v>
      </c>
      <c r="W56" s="411">
        <v>320.87</v>
      </c>
      <c r="X56" s="411">
        <v>291.58699999999999</v>
      </c>
      <c r="Y56" s="411">
        <v>321.25900000000001</v>
      </c>
      <c r="Z56" s="411">
        <v>312.97699999999998</v>
      </c>
      <c r="AA56" s="411">
        <v>323.83800000000002</v>
      </c>
      <c r="AB56" s="704">
        <v>298.41899999999998</v>
      </c>
      <c r="AC56" s="704">
        <v>275.755</v>
      </c>
      <c r="AD56" s="704">
        <v>270.87200000000001</v>
      </c>
      <c r="AE56" s="704">
        <v>252.09399999999999</v>
      </c>
      <c r="AF56" s="704">
        <v>233.732</v>
      </c>
      <c r="AG56" s="704">
        <v>237.35599999999999</v>
      </c>
      <c r="AH56" s="704">
        <v>254.95400000000001</v>
      </c>
      <c r="AI56" s="533">
        <v>228.60000000000005</v>
      </c>
      <c r="AJ56" s="411">
        <v>213</v>
      </c>
      <c r="AK56" s="662">
        <v>208</v>
      </c>
      <c r="AL56" s="705">
        <v>190</v>
      </c>
      <c r="AM56" s="705">
        <v>215</v>
      </c>
      <c r="AN56" s="411">
        <v>289</v>
      </c>
      <c r="AO56" s="412">
        <v>372</v>
      </c>
      <c r="AP56" s="412">
        <v>373</v>
      </c>
      <c r="AQ56" s="664">
        <v>446</v>
      </c>
    </row>
    <row r="57" spans="1:74" s="23" customFormat="1">
      <c r="A57" s="415" t="s">
        <v>70</v>
      </c>
      <c r="B57" s="722" t="s">
        <v>213</v>
      </c>
      <c r="C57" s="722"/>
      <c r="D57" s="417">
        <v>124849.852</v>
      </c>
      <c r="E57" s="417">
        <v>127937.602</v>
      </c>
      <c r="F57" s="417">
        <v>131765.29199999999</v>
      </c>
      <c r="G57" s="417">
        <v>136042.815</v>
      </c>
      <c r="H57" s="417">
        <v>135514.872</v>
      </c>
      <c r="I57" s="417">
        <v>143550.72200000001</v>
      </c>
      <c r="J57" s="417">
        <v>144028.21299999999</v>
      </c>
      <c r="K57" s="417">
        <v>148300.93299999999</v>
      </c>
      <c r="L57" s="417">
        <v>150634.27600000001</v>
      </c>
      <c r="M57" s="417">
        <v>158059.92499999999</v>
      </c>
      <c r="N57" s="417">
        <v>165049.32</v>
      </c>
      <c r="O57" s="417">
        <v>167926.05300000001</v>
      </c>
      <c r="P57" s="417">
        <v>166091.71799999999</v>
      </c>
      <c r="Q57" s="417">
        <v>167398.12</v>
      </c>
      <c r="R57" s="417">
        <v>169431.54500000001</v>
      </c>
      <c r="S57" s="417">
        <v>168714.26699999999</v>
      </c>
      <c r="T57" s="417">
        <v>171637.003</v>
      </c>
      <c r="U57" s="417">
        <v>174466.166</v>
      </c>
      <c r="V57" s="417">
        <v>177068.22</v>
      </c>
      <c r="W57" s="417">
        <v>174076.785</v>
      </c>
      <c r="X57" s="417">
        <v>177213.084</v>
      </c>
      <c r="Y57" s="417">
        <v>216275.77900000001</v>
      </c>
      <c r="Z57" s="417">
        <v>217444.69500000001</v>
      </c>
      <c r="AA57" s="417">
        <v>221085.038</v>
      </c>
      <c r="AB57" s="723">
        <v>228319.09</v>
      </c>
      <c r="AC57" s="723">
        <v>226792.77600000001</v>
      </c>
      <c r="AD57" s="723">
        <v>225342.927</v>
      </c>
      <c r="AE57" s="723">
        <v>236675.00599999999</v>
      </c>
      <c r="AF57" s="723">
        <v>236055.90900000001</v>
      </c>
      <c r="AG57" s="723">
        <v>240853.198</v>
      </c>
      <c r="AH57" s="723">
        <v>243289.04800000001</v>
      </c>
      <c r="AI57" s="724">
        <v>253004.1</v>
      </c>
      <c r="AJ57" s="417">
        <v>255180</v>
      </c>
      <c r="AK57" s="725">
        <v>252049</v>
      </c>
      <c r="AL57" s="725">
        <v>254621</v>
      </c>
      <c r="AM57" s="725">
        <v>260656</v>
      </c>
      <c r="AN57" s="417">
        <v>258538</v>
      </c>
      <c r="AO57" s="418">
        <v>261891</v>
      </c>
      <c r="AP57" s="418">
        <v>268369</v>
      </c>
      <c r="AQ57" s="492">
        <v>285154</v>
      </c>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row>
    <row r="58" spans="1:74" s="64" customFormat="1" ht="12">
      <c r="A58" s="726"/>
      <c r="B58" s="727"/>
      <c r="C58" s="727"/>
      <c r="D58" s="728">
        <f>D41+D42+D43+D44+D45+D46+D47+D48+D49+D52+D53+D54+D55+D56</f>
        <v>124849.852</v>
      </c>
      <c r="E58" s="728">
        <f t="shared" ref="E58:AQ58" si="1">E41+E42+E43+E44+E45+E46+E47+E48+E49+E52+E53+E54+E55+E56</f>
        <v>127937.602</v>
      </c>
      <c r="F58" s="728">
        <f t="shared" si="1"/>
        <v>131765.29199999999</v>
      </c>
      <c r="G58" s="728">
        <f t="shared" si="1"/>
        <v>136042.815</v>
      </c>
      <c r="H58" s="728">
        <f t="shared" si="1"/>
        <v>135514.87200000003</v>
      </c>
      <c r="I58" s="728">
        <f t="shared" si="1"/>
        <v>143550.72200000004</v>
      </c>
      <c r="J58" s="728">
        <f t="shared" si="1"/>
        <v>144028.21299999999</v>
      </c>
      <c r="K58" s="728">
        <f t="shared" si="1"/>
        <v>148300.93300000002</v>
      </c>
      <c r="L58" s="728">
        <f t="shared" si="1"/>
        <v>150634.27599999998</v>
      </c>
      <c r="M58" s="728">
        <f t="shared" si="1"/>
        <v>158059.92499999999</v>
      </c>
      <c r="N58" s="728">
        <f t="shared" si="1"/>
        <v>165049.32000000004</v>
      </c>
      <c r="O58" s="728">
        <f t="shared" si="1"/>
        <v>167926.05300000001</v>
      </c>
      <c r="P58" s="728">
        <f t="shared" si="1"/>
        <v>166091.71800000005</v>
      </c>
      <c r="Q58" s="728">
        <f t="shared" si="1"/>
        <v>167398.12000000002</v>
      </c>
      <c r="R58" s="728">
        <f t="shared" si="1"/>
        <v>169431.54500000001</v>
      </c>
      <c r="S58" s="728">
        <f t="shared" si="1"/>
        <v>168714.26699999999</v>
      </c>
      <c r="T58" s="728">
        <f t="shared" si="1"/>
        <v>171637.00299999997</v>
      </c>
      <c r="U58" s="728">
        <f t="shared" si="1"/>
        <v>174466.16600000003</v>
      </c>
      <c r="V58" s="728">
        <f t="shared" si="1"/>
        <v>177068.22000000003</v>
      </c>
      <c r="W58" s="728">
        <f t="shared" si="1"/>
        <v>174076.785</v>
      </c>
      <c r="X58" s="728">
        <f t="shared" si="1"/>
        <v>177213.084</v>
      </c>
      <c r="Y58" s="728">
        <f t="shared" si="1"/>
        <v>216275.77899999998</v>
      </c>
      <c r="Z58" s="728">
        <f t="shared" si="1"/>
        <v>217444.69499999998</v>
      </c>
      <c r="AA58" s="728">
        <f t="shared" si="1"/>
        <v>221085.038</v>
      </c>
      <c r="AB58" s="728">
        <f t="shared" si="1"/>
        <v>228319.09</v>
      </c>
      <c r="AC58" s="728">
        <f t="shared" si="1"/>
        <v>226792.77600000001</v>
      </c>
      <c r="AD58" s="728">
        <f t="shared" si="1"/>
        <v>225342.92700000003</v>
      </c>
      <c r="AE58" s="728">
        <f t="shared" si="1"/>
        <v>236675.00600000002</v>
      </c>
      <c r="AF58" s="728">
        <f t="shared" si="1"/>
        <v>236055.90899999999</v>
      </c>
      <c r="AG58" s="728">
        <f t="shared" si="1"/>
        <v>240853.198</v>
      </c>
      <c r="AH58" s="728">
        <f t="shared" si="1"/>
        <v>243289.04800000001</v>
      </c>
      <c r="AI58" s="728">
        <f t="shared" si="1"/>
        <v>253004.1</v>
      </c>
      <c r="AJ58" s="728">
        <f t="shared" si="1"/>
        <v>255180</v>
      </c>
      <c r="AK58" s="728">
        <f t="shared" si="1"/>
        <v>252049</v>
      </c>
      <c r="AL58" s="728">
        <f t="shared" si="1"/>
        <v>254621</v>
      </c>
      <c r="AM58" s="728">
        <f t="shared" si="1"/>
        <v>260656</v>
      </c>
      <c r="AN58" s="728">
        <f t="shared" si="1"/>
        <v>258538</v>
      </c>
      <c r="AO58" s="728">
        <f t="shared" si="1"/>
        <v>261891</v>
      </c>
      <c r="AP58" s="728">
        <f t="shared" si="1"/>
        <v>268369</v>
      </c>
      <c r="AQ58" s="729">
        <f t="shared" si="1"/>
        <v>285154</v>
      </c>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row>
    <row r="59" spans="1:74">
      <c r="A59" s="355" t="s">
        <v>71</v>
      </c>
      <c r="B59" s="356" t="s">
        <v>214</v>
      </c>
      <c r="C59" s="356"/>
      <c r="D59" s="411">
        <v>1000</v>
      </c>
      <c r="E59" s="411">
        <v>1000</v>
      </c>
      <c r="F59" s="411">
        <v>1000</v>
      </c>
      <c r="G59" s="411">
        <v>1250</v>
      </c>
      <c r="H59" s="411">
        <v>1250</v>
      </c>
      <c r="I59" s="411">
        <v>1250</v>
      </c>
      <c r="J59" s="411">
        <v>1250</v>
      </c>
      <c r="K59" s="411">
        <v>1250</v>
      </c>
      <c r="L59" s="411">
        <v>1250</v>
      </c>
      <c r="M59" s="411">
        <v>1250</v>
      </c>
      <c r="N59" s="411">
        <v>1250</v>
      </c>
      <c r="O59" s="411">
        <v>1250</v>
      </c>
      <c r="P59" s="411">
        <v>1250</v>
      </c>
      <c r="Q59" s="411">
        <v>1250</v>
      </c>
      <c r="R59" s="411">
        <v>1250</v>
      </c>
      <c r="S59" s="411">
        <v>1250</v>
      </c>
      <c r="T59" s="411">
        <v>1250</v>
      </c>
      <c r="U59" s="411">
        <v>1250</v>
      </c>
      <c r="V59" s="411">
        <v>1250</v>
      </c>
      <c r="W59" s="411">
        <v>1250</v>
      </c>
      <c r="X59" s="411">
        <v>1250</v>
      </c>
      <c r="Y59" s="411">
        <v>1250</v>
      </c>
      <c r="Z59" s="411">
        <v>1250</v>
      </c>
      <c r="AA59" s="411">
        <v>1250</v>
      </c>
      <c r="AB59" s="704">
        <v>1250</v>
      </c>
      <c r="AC59" s="704">
        <v>1250</v>
      </c>
      <c r="AD59" s="704">
        <v>1250</v>
      </c>
      <c r="AE59" s="704">
        <v>1250</v>
      </c>
      <c r="AF59" s="704">
        <v>1250</v>
      </c>
      <c r="AG59" s="704">
        <v>1250</v>
      </c>
      <c r="AH59" s="704">
        <v>1250</v>
      </c>
      <c r="AI59" s="529">
        <v>1250</v>
      </c>
      <c r="AJ59" s="411">
        <v>1250</v>
      </c>
      <c r="AK59" s="662">
        <v>1250</v>
      </c>
      <c r="AL59" s="705">
        <v>1250</v>
      </c>
      <c r="AM59" s="705">
        <v>1250</v>
      </c>
      <c r="AN59" s="411">
        <v>1250</v>
      </c>
      <c r="AO59" s="411">
        <v>1250</v>
      </c>
      <c r="AP59" s="411">
        <v>1250</v>
      </c>
      <c r="AQ59" s="414">
        <v>1250</v>
      </c>
    </row>
    <row r="60" spans="1:74">
      <c r="A60" s="355" t="s">
        <v>72</v>
      </c>
      <c r="B60" s="356" t="s">
        <v>215</v>
      </c>
      <c r="C60" s="356"/>
      <c r="D60" s="411">
        <v>13042.45</v>
      </c>
      <c r="E60" s="411">
        <v>11954.433999999999</v>
      </c>
      <c r="F60" s="411">
        <v>11859.331</v>
      </c>
      <c r="G60" s="411">
        <v>16732.988000000001</v>
      </c>
      <c r="H60" s="411">
        <v>16755.339</v>
      </c>
      <c r="I60" s="411">
        <v>16917.385999999999</v>
      </c>
      <c r="J60" s="411">
        <v>16796.383999999998</v>
      </c>
      <c r="K60" s="411">
        <v>16888.145</v>
      </c>
      <c r="L60" s="411">
        <v>16727.431</v>
      </c>
      <c r="M60" s="411">
        <v>17713.011999999999</v>
      </c>
      <c r="N60" s="411">
        <v>17941.598999999998</v>
      </c>
      <c r="O60" s="411">
        <v>17881.263999999999</v>
      </c>
      <c r="P60" s="411">
        <v>17625.707999999999</v>
      </c>
      <c r="Q60" s="411">
        <v>20004.02</v>
      </c>
      <c r="R60" s="411">
        <v>19865.149000000001</v>
      </c>
      <c r="S60" s="411">
        <v>19984.965</v>
      </c>
      <c r="T60" s="411">
        <v>19857.687000000002</v>
      </c>
      <c r="U60" s="411">
        <v>21044.504000000001</v>
      </c>
      <c r="V60" s="411">
        <v>21086.083999999999</v>
      </c>
      <c r="W60" s="411">
        <v>21108.672999999999</v>
      </c>
      <c r="X60" s="411">
        <v>21151.953000000001</v>
      </c>
      <c r="Y60" s="411">
        <v>23368.582999999999</v>
      </c>
      <c r="Z60" s="411">
        <v>23485.755000000001</v>
      </c>
      <c r="AA60" s="411">
        <v>23374.794000000002</v>
      </c>
      <c r="AB60" s="704">
        <v>23389.054</v>
      </c>
      <c r="AC60" s="704">
        <v>25140.091</v>
      </c>
      <c r="AD60" s="704">
        <v>25171.282999999999</v>
      </c>
      <c r="AE60" s="704">
        <v>25417.809000000001</v>
      </c>
      <c r="AF60" s="704">
        <v>25559.057000000001</v>
      </c>
      <c r="AG60" s="704">
        <v>27831.973999999998</v>
      </c>
      <c r="AH60" s="704">
        <v>27801.4</v>
      </c>
      <c r="AI60" s="529">
        <v>28700.899999999998</v>
      </c>
      <c r="AJ60" s="411">
        <v>28949</v>
      </c>
      <c r="AK60" s="662">
        <v>32019</v>
      </c>
      <c r="AL60" s="705">
        <v>32123</v>
      </c>
      <c r="AM60" s="706">
        <v>31979</v>
      </c>
      <c r="AN60" s="411">
        <v>32142</v>
      </c>
      <c r="AO60" s="411">
        <v>34233</v>
      </c>
      <c r="AP60" s="411">
        <v>34125</v>
      </c>
      <c r="AQ60" s="414">
        <v>34505</v>
      </c>
    </row>
    <row r="61" spans="1:74" ht="14.25" customHeight="1">
      <c r="A61" s="355" t="s">
        <v>73</v>
      </c>
      <c r="B61" s="356" t="s">
        <v>216</v>
      </c>
      <c r="C61" s="356"/>
      <c r="D61" s="427"/>
      <c r="E61" s="427"/>
      <c r="F61" s="411">
        <v>-110.06699999999999</v>
      </c>
      <c r="G61" s="411">
        <v>-108.791</v>
      </c>
      <c r="H61" s="411">
        <v>-105.131</v>
      </c>
      <c r="I61" s="411">
        <v>-68.504000000000005</v>
      </c>
      <c r="J61" s="411">
        <v>-112.036</v>
      </c>
      <c r="K61" s="411">
        <v>-109.747</v>
      </c>
      <c r="L61" s="411">
        <v>-125.343</v>
      </c>
      <c r="M61" s="411">
        <v>-136.33799999999999</v>
      </c>
      <c r="N61" s="411">
        <v>-76.128</v>
      </c>
      <c r="O61" s="411">
        <v>-92.022999999999996</v>
      </c>
      <c r="P61" s="411">
        <v>-121.136</v>
      </c>
      <c r="Q61" s="411">
        <v>-94.384</v>
      </c>
      <c r="R61" s="411">
        <v>-114.371</v>
      </c>
      <c r="S61" s="411">
        <v>-120.30500000000001</v>
      </c>
      <c r="T61" s="411">
        <v>-111.55200000000001</v>
      </c>
      <c r="U61" s="411">
        <v>-109.81699999999999</v>
      </c>
      <c r="V61" s="411">
        <v>-119.732</v>
      </c>
      <c r="W61" s="411">
        <v>-129.41999999999999</v>
      </c>
      <c r="X61" s="411">
        <v>-186.929</v>
      </c>
      <c r="Y61" s="411">
        <v>-194.20099999999999</v>
      </c>
      <c r="Z61" s="411">
        <v>-196.64599999999999</v>
      </c>
      <c r="AA61" s="411">
        <v>-192.69200000000001</v>
      </c>
      <c r="AB61" s="704">
        <v>-216.16300000000001</v>
      </c>
      <c r="AC61" s="704">
        <v>-208.99100000000001</v>
      </c>
      <c r="AD61" s="704">
        <v>-209.233</v>
      </c>
      <c r="AE61" s="704">
        <v>-216.501</v>
      </c>
      <c r="AF61" s="704">
        <v>-225.75</v>
      </c>
      <c r="AG61" s="704">
        <v>-215.435</v>
      </c>
      <c r="AH61" s="704">
        <v>-226.80699999999999</v>
      </c>
      <c r="AI61" s="529">
        <v>-221</v>
      </c>
      <c r="AJ61" s="411">
        <v>-230</v>
      </c>
      <c r="AK61" s="533">
        <v>-233</v>
      </c>
      <c r="AL61" s="535">
        <v>-239</v>
      </c>
      <c r="AM61" s="709"/>
      <c r="AN61" s="427"/>
      <c r="AO61" s="427"/>
      <c r="AP61" s="427"/>
      <c r="AQ61" s="428"/>
    </row>
    <row r="62" spans="1:74">
      <c r="A62" s="355" t="s">
        <v>74</v>
      </c>
      <c r="B62" s="356" t="s">
        <v>217</v>
      </c>
      <c r="C62" s="356"/>
      <c r="D62" s="427"/>
      <c r="E62" s="427"/>
      <c r="F62" s="411">
        <v>248.80600000000001</v>
      </c>
      <c r="G62" s="411">
        <v>248.80600000000001</v>
      </c>
      <c r="H62" s="411">
        <v>2555.105</v>
      </c>
      <c r="I62" s="411">
        <v>2542.61</v>
      </c>
      <c r="J62" s="411">
        <v>2544.1030000000001</v>
      </c>
      <c r="K62" s="411">
        <v>112.297</v>
      </c>
      <c r="L62" s="411">
        <v>3334.5729999999999</v>
      </c>
      <c r="M62" s="411">
        <v>-24.149000000000001</v>
      </c>
      <c r="N62" s="411">
        <v>-23.161999999999999</v>
      </c>
      <c r="O62" s="411">
        <v>-23.161999999999999</v>
      </c>
      <c r="P62" s="411">
        <v>3557.5810000000001</v>
      </c>
      <c r="Q62" s="411">
        <v>-416.55399999999997</v>
      </c>
      <c r="R62" s="411">
        <v>-416.55399999999997</v>
      </c>
      <c r="S62" s="411">
        <v>-416.55399999999997</v>
      </c>
      <c r="T62" s="411">
        <v>3374.038</v>
      </c>
      <c r="U62" s="411">
        <v>-327.15800000000002</v>
      </c>
      <c r="V62" s="411">
        <v>-327.15699999999998</v>
      </c>
      <c r="W62" s="411">
        <v>-306.23</v>
      </c>
      <c r="X62" s="411">
        <v>2923.5630000000001</v>
      </c>
      <c r="Y62" s="411">
        <v>-60.658000000000001</v>
      </c>
      <c r="Z62" s="411">
        <v>-60.658000000000001</v>
      </c>
      <c r="AA62" s="411">
        <v>-60.658000000000001</v>
      </c>
      <c r="AB62" s="704">
        <v>3216.24</v>
      </c>
      <c r="AC62" s="704">
        <v>1222.413</v>
      </c>
      <c r="AD62" s="704">
        <v>1222.413</v>
      </c>
      <c r="AE62" s="704">
        <v>1222.413</v>
      </c>
      <c r="AF62" s="704">
        <v>3831.9769999999999</v>
      </c>
      <c r="AG62" s="704">
        <v>1231.415</v>
      </c>
      <c r="AH62" s="704">
        <v>1231.415</v>
      </c>
      <c r="AI62" s="529">
        <v>-18.599999999999909</v>
      </c>
      <c r="AJ62" s="411">
        <v>2855</v>
      </c>
      <c r="AK62" s="533">
        <v>-66</v>
      </c>
      <c r="AL62" s="535">
        <v>-66</v>
      </c>
      <c r="AM62" s="535">
        <v>-66</v>
      </c>
      <c r="AN62" s="411">
        <v>2420</v>
      </c>
      <c r="AO62" s="411">
        <v>-385</v>
      </c>
      <c r="AP62" s="411">
        <v>-385</v>
      </c>
      <c r="AQ62" s="414">
        <v>-385</v>
      </c>
    </row>
    <row r="63" spans="1:74">
      <c r="A63" s="355" t="s">
        <v>75</v>
      </c>
      <c r="B63" s="356" t="s">
        <v>218</v>
      </c>
      <c r="C63" s="356"/>
      <c r="D63" s="411">
        <v>540.68499999999995</v>
      </c>
      <c r="E63" s="411">
        <v>1150.558</v>
      </c>
      <c r="F63" s="411">
        <v>1789.0889999999999</v>
      </c>
      <c r="G63" s="411">
        <v>2305.538</v>
      </c>
      <c r="H63" s="411">
        <v>719.98900000000003</v>
      </c>
      <c r="I63" s="411">
        <v>1502.337</v>
      </c>
      <c r="J63" s="411">
        <v>2349.1869999999999</v>
      </c>
      <c r="K63" s="411">
        <v>3216.8829999999998</v>
      </c>
      <c r="L63" s="411">
        <v>871.01599999999996</v>
      </c>
      <c r="M63" s="411">
        <v>1838.3140000000001</v>
      </c>
      <c r="N63" s="411">
        <v>2855.3389999999999</v>
      </c>
      <c r="O63" s="411">
        <v>3807.1950000000002</v>
      </c>
      <c r="P63" s="411">
        <v>1016.646</v>
      </c>
      <c r="Q63" s="411">
        <v>1978.4469999999999</v>
      </c>
      <c r="R63" s="411">
        <v>2908.4110000000001</v>
      </c>
      <c r="S63" s="411">
        <v>3738.64</v>
      </c>
      <c r="T63" s="411">
        <v>786.42200000000003</v>
      </c>
      <c r="U63" s="411">
        <v>1539.1790000000001</v>
      </c>
      <c r="V63" s="411">
        <v>2291.4749999999999</v>
      </c>
      <c r="W63" s="411">
        <v>3229.7930000000001</v>
      </c>
      <c r="X63" s="411">
        <v>802.57399999999996</v>
      </c>
      <c r="Y63" s="411">
        <v>1658.1279999999999</v>
      </c>
      <c r="Z63" s="411">
        <v>2531.5030000000002</v>
      </c>
      <c r="AA63" s="411">
        <v>3254.1219999999998</v>
      </c>
      <c r="AB63" s="704">
        <v>647.18100000000004</v>
      </c>
      <c r="AC63" s="704">
        <v>1350.059</v>
      </c>
      <c r="AD63" s="704">
        <v>2165.3069999999998</v>
      </c>
      <c r="AE63" s="704">
        <v>2609.5639999999999</v>
      </c>
      <c r="AF63" s="704">
        <v>638.59</v>
      </c>
      <c r="AG63" s="704">
        <v>1512.1389999999999</v>
      </c>
      <c r="AH63" s="704">
        <v>2280.6550000000002</v>
      </c>
      <c r="AI63" s="529">
        <v>2874.0000000000014</v>
      </c>
      <c r="AJ63" s="411">
        <v>525</v>
      </c>
      <c r="AK63" s="662">
        <v>1382</v>
      </c>
      <c r="AL63" s="705">
        <v>2284</v>
      </c>
      <c r="AM63" s="705">
        <v>3104</v>
      </c>
      <c r="AN63" s="411">
        <v>757</v>
      </c>
      <c r="AO63" s="411">
        <v>1690</v>
      </c>
      <c r="AP63" s="411">
        <v>2732</v>
      </c>
      <c r="AQ63" s="414">
        <v>3741</v>
      </c>
    </row>
    <row r="64" spans="1:74" s="23" customFormat="1" ht="30" customHeight="1">
      <c r="A64" s="730" t="s">
        <v>76</v>
      </c>
      <c r="B64" s="731" t="s">
        <v>219</v>
      </c>
      <c r="C64" s="731"/>
      <c r="D64" s="411">
        <v>14491.704</v>
      </c>
      <c r="E64" s="411">
        <v>14297.785</v>
      </c>
      <c r="F64" s="411">
        <v>14787.159</v>
      </c>
      <c r="G64" s="411">
        <v>20428.541000000001</v>
      </c>
      <c r="H64" s="411">
        <v>21175.302</v>
      </c>
      <c r="I64" s="411">
        <v>22143.829000000002</v>
      </c>
      <c r="J64" s="411">
        <v>22827.637999999999</v>
      </c>
      <c r="K64" s="411">
        <v>21357.578000000001</v>
      </c>
      <c r="L64" s="411">
        <v>22057.677</v>
      </c>
      <c r="M64" s="411">
        <v>20640.839</v>
      </c>
      <c r="N64" s="411">
        <v>21947.648000000001</v>
      </c>
      <c r="O64" s="411">
        <v>22823.274000000001</v>
      </c>
      <c r="P64" s="411">
        <v>23328.798999999999</v>
      </c>
      <c r="Q64" s="411">
        <v>22721.528999999999</v>
      </c>
      <c r="R64" s="411">
        <v>23492.634999999998</v>
      </c>
      <c r="S64" s="411">
        <v>24436.745999999999</v>
      </c>
      <c r="T64" s="411">
        <v>25156.595000000001</v>
      </c>
      <c r="U64" s="411">
        <v>23396.707999999999</v>
      </c>
      <c r="V64" s="411">
        <v>24180.67</v>
      </c>
      <c r="W64" s="411">
        <v>25152.815999999999</v>
      </c>
      <c r="X64" s="411">
        <v>25941.161</v>
      </c>
      <c r="Y64" s="411">
        <v>26021.851999999999</v>
      </c>
      <c r="Z64" s="411">
        <v>27009.954000000002</v>
      </c>
      <c r="AA64" s="411">
        <v>27625.565999999999</v>
      </c>
      <c r="AB64" s="704">
        <v>28286.312000000002</v>
      </c>
      <c r="AC64" s="704">
        <v>28753.572</v>
      </c>
      <c r="AD64" s="704">
        <v>29599.77</v>
      </c>
      <c r="AE64" s="704">
        <v>30283.285</v>
      </c>
      <c r="AF64" s="704">
        <v>31053.874</v>
      </c>
      <c r="AG64" s="704">
        <v>31610.093000000001</v>
      </c>
      <c r="AH64" s="704">
        <v>32336.663</v>
      </c>
      <c r="AI64" s="529">
        <v>32584.799999999999</v>
      </c>
      <c r="AJ64" s="411">
        <v>33349</v>
      </c>
      <c r="AK64" s="713">
        <v>34352</v>
      </c>
      <c r="AL64" s="714">
        <v>35352</v>
      </c>
      <c r="AM64" s="714">
        <v>36267</v>
      </c>
      <c r="AN64" s="424">
        <v>36569</v>
      </c>
      <c r="AO64" s="424">
        <v>36788</v>
      </c>
      <c r="AP64" s="424">
        <v>37722</v>
      </c>
      <c r="AQ64" s="440">
        <v>39111</v>
      </c>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row>
    <row r="65" spans="1:74">
      <c r="A65" s="355" t="s">
        <v>77</v>
      </c>
      <c r="B65" s="356" t="s">
        <v>220</v>
      </c>
      <c r="C65" s="356"/>
      <c r="D65" s="411">
        <v>46.896999999999998</v>
      </c>
      <c r="E65" s="411">
        <v>23.125</v>
      </c>
      <c r="F65" s="411">
        <v>26.975999999999999</v>
      </c>
      <c r="G65" s="411">
        <v>7.3289999999999997</v>
      </c>
      <c r="H65" s="411">
        <v>5.601</v>
      </c>
      <c r="I65" s="411">
        <v>4.7930000000000001</v>
      </c>
      <c r="J65" s="411">
        <v>3.3079999999999998</v>
      </c>
      <c r="K65" s="411">
        <v>1.99</v>
      </c>
      <c r="L65" s="411">
        <v>1.6259999999999999</v>
      </c>
      <c r="M65" s="411">
        <v>1.0960000000000001</v>
      </c>
      <c r="N65" s="411">
        <v>-2.8000000000000001E-2</v>
      </c>
      <c r="O65" s="411">
        <v>-1.29</v>
      </c>
      <c r="P65" s="411">
        <v>-1.2210000000000001</v>
      </c>
      <c r="Q65" s="411">
        <v>-1.9279999999999999</v>
      </c>
      <c r="R65" s="411">
        <v>-1.8080000000000001</v>
      </c>
      <c r="S65" s="411">
        <v>-0.33800000000000002</v>
      </c>
      <c r="T65" s="411">
        <v>-0.47399999999999998</v>
      </c>
      <c r="U65" s="411">
        <v>2.5979999999999999</v>
      </c>
      <c r="V65" s="411">
        <v>2.468</v>
      </c>
      <c r="W65" s="411">
        <v>1.5089999999999999</v>
      </c>
      <c r="X65" s="411">
        <v>-2.2549999999999999</v>
      </c>
      <c r="Y65" s="411">
        <v>-8.2040000000000006</v>
      </c>
      <c r="Z65" s="411">
        <v>-7.6909999999999998</v>
      </c>
      <c r="AA65" s="411">
        <v>-10.015000000000001</v>
      </c>
      <c r="AB65" s="704">
        <v>-21.475999999999999</v>
      </c>
      <c r="AC65" s="704">
        <v>-22.721</v>
      </c>
      <c r="AD65" s="704">
        <v>-22.266999999999999</v>
      </c>
      <c r="AE65" s="704">
        <v>-18.372</v>
      </c>
      <c r="AF65" s="704">
        <v>-19.015000000000001</v>
      </c>
      <c r="AG65" s="704">
        <v>-21.202000000000002</v>
      </c>
      <c r="AH65" s="704">
        <v>-17.920999999999999</v>
      </c>
      <c r="AI65" s="529">
        <v>-16.2</v>
      </c>
      <c r="AJ65" s="411">
        <v>-13</v>
      </c>
      <c r="AK65" s="533">
        <v>-12</v>
      </c>
      <c r="AL65" s="535">
        <v>-12</v>
      </c>
      <c r="AM65" s="535">
        <v>-11</v>
      </c>
      <c r="AN65" s="411">
        <v>-12</v>
      </c>
      <c r="AO65" s="411">
        <v>-12</v>
      </c>
      <c r="AP65" s="411">
        <v>-9</v>
      </c>
      <c r="AQ65" s="414">
        <v>-10</v>
      </c>
    </row>
    <row r="66" spans="1:74" s="127" customFormat="1">
      <c r="A66" s="441" t="s">
        <v>78</v>
      </c>
      <c r="B66" s="732" t="s">
        <v>221</v>
      </c>
      <c r="C66" s="732"/>
      <c r="D66" s="418">
        <v>14538.601000000001</v>
      </c>
      <c r="E66" s="418">
        <v>14320.91</v>
      </c>
      <c r="F66" s="418">
        <v>14814.135</v>
      </c>
      <c r="G66" s="418">
        <v>20435.87</v>
      </c>
      <c r="H66" s="418">
        <v>21180.902999999998</v>
      </c>
      <c r="I66" s="418">
        <v>22148.621999999999</v>
      </c>
      <c r="J66" s="418">
        <v>22830.946</v>
      </c>
      <c r="K66" s="418">
        <v>21359.567999999999</v>
      </c>
      <c r="L66" s="418">
        <v>22059.303</v>
      </c>
      <c r="M66" s="418">
        <v>20641.935000000001</v>
      </c>
      <c r="N66" s="418">
        <v>21947.62</v>
      </c>
      <c r="O66" s="418">
        <v>22821.984</v>
      </c>
      <c r="P66" s="418">
        <v>23327.578000000001</v>
      </c>
      <c r="Q66" s="418">
        <v>22719.600999999999</v>
      </c>
      <c r="R66" s="418">
        <v>23490.827000000001</v>
      </c>
      <c r="S66" s="418">
        <v>24436.407999999999</v>
      </c>
      <c r="T66" s="418">
        <v>25156.120999999999</v>
      </c>
      <c r="U66" s="418">
        <v>23399.306</v>
      </c>
      <c r="V66" s="418">
        <v>24183.137999999999</v>
      </c>
      <c r="W66" s="418">
        <v>25154.325000000001</v>
      </c>
      <c r="X66" s="418">
        <v>25938.905999999999</v>
      </c>
      <c r="Y66" s="418">
        <v>26013.648000000001</v>
      </c>
      <c r="Z66" s="418">
        <v>27002.262999999999</v>
      </c>
      <c r="AA66" s="418">
        <v>27615.550999999999</v>
      </c>
      <c r="AB66" s="733">
        <v>28264.835999999999</v>
      </c>
      <c r="AC66" s="733">
        <v>28730.850999999999</v>
      </c>
      <c r="AD66" s="733">
        <v>29577.503000000001</v>
      </c>
      <c r="AE66" s="733">
        <v>30264.913</v>
      </c>
      <c r="AF66" s="733">
        <v>31034.859</v>
      </c>
      <c r="AG66" s="733">
        <v>31588.891</v>
      </c>
      <c r="AH66" s="733">
        <v>32318.741999999998</v>
      </c>
      <c r="AI66" s="724">
        <v>32568.6</v>
      </c>
      <c r="AJ66" s="418">
        <v>33336</v>
      </c>
      <c r="AK66" s="725">
        <v>34340</v>
      </c>
      <c r="AL66" s="725">
        <v>35340</v>
      </c>
      <c r="AM66" s="725">
        <v>36256</v>
      </c>
      <c r="AN66" s="418">
        <v>36557</v>
      </c>
      <c r="AO66" s="418">
        <v>36776</v>
      </c>
      <c r="AP66" s="418">
        <v>37713</v>
      </c>
      <c r="AQ66" s="492">
        <v>39101</v>
      </c>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row>
    <row r="67" spans="1:74" s="74" customFormat="1" ht="15">
      <c r="A67" s="734" t="s">
        <v>79</v>
      </c>
      <c r="B67" s="735" t="s">
        <v>222</v>
      </c>
      <c r="C67" s="735"/>
      <c r="D67" s="471">
        <v>139388.45300000001</v>
      </c>
      <c r="E67" s="471">
        <v>142258.51199999999</v>
      </c>
      <c r="F67" s="471">
        <v>146579.427</v>
      </c>
      <c r="G67" s="471">
        <v>156478.685</v>
      </c>
      <c r="H67" s="471">
        <v>156695.77499999999</v>
      </c>
      <c r="I67" s="471">
        <v>165699.34400000001</v>
      </c>
      <c r="J67" s="471">
        <v>166859.15900000001</v>
      </c>
      <c r="K67" s="471">
        <v>169660.50099999999</v>
      </c>
      <c r="L67" s="471">
        <v>172693.579</v>
      </c>
      <c r="M67" s="471">
        <v>178701.86</v>
      </c>
      <c r="N67" s="471">
        <v>186996.94</v>
      </c>
      <c r="O67" s="471">
        <v>190748.03700000001</v>
      </c>
      <c r="P67" s="471">
        <v>189419.296</v>
      </c>
      <c r="Q67" s="471">
        <v>190117.72099999999</v>
      </c>
      <c r="R67" s="471">
        <v>192922.372</v>
      </c>
      <c r="S67" s="471">
        <v>193150.67499999999</v>
      </c>
      <c r="T67" s="471">
        <v>196793.12400000001</v>
      </c>
      <c r="U67" s="471">
        <v>197865.47200000001</v>
      </c>
      <c r="V67" s="471">
        <v>201251.35800000001</v>
      </c>
      <c r="W67" s="471">
        <v>199231.11</v>
      </c>
      <c r="X67" s="471">
        <v>203151.99</v>
      </c>
      <c r="Y67" s="471">
        <v>242289.427</v>
      </c>
      <c r="Z67" s="471">
        <v>244446.95800000001</v>
      </c>
      <c r="AA67" s="471">
        <v>248700.58900000001</v>
      </c>
      <c r="AB67" s="736">
        <v>256583.92600000001</v>
      </c>
      <c r="AC67" s="736">
        <v>255523.62700000001</v>
      </c>
      <c r="AD67" s="736">
        <v>254920.43</v>
      </c>
      <c r="AE67" s="736">
        <v>266939.91899999999</v>
      </c>
      <c r="AF67" s="736">
        <v>267090.76799999998</v>
      </c>
      <c r="AG67" s="736">
        <v>272442.08899999998</v>
      </c>
      <c r="AH67" s="736">
        <v>275607.78999999998</v>
      </c>
      <c r="AI67" s="548">
        <v>285572</v>
      </c>
      <c r="AJ67" s="471">
        <v>288516</v>
      </c>
      <c r="AK67" s="737">
        <v>286389</v>
      </c>
      <c r="AL67" s="738">
        <v>289961</v>
      </c>
      <c r="AM67" s="738">
        <v>296912</v>
      </c>
      <c r="AN67" s="471">
        <v>295095</v>
      </c>
      <c r="AO67" s="471">
        <f>AO57+AO66</f>
        <v>298667</v>
      </c>
      <c r="AP67" s="471">
        <f>AP58+AP66</f>
        <v>306082</v>
      </c>
      <c r="AQ67" s="473">
        <v>324255</v>
      </c>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row>
    <row r="68" spans="1:74" s="268" customFormat="1" ht="12">
      <c r="A68" s="235"/>
      <c r="B68" s="235"/>
      <c r="C68" s="235"/>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row>
    <row r="69" spans="1:74">
      <c r="A69" s="207"/>
      <c r="B69" s="205"/>
      <c r="C69" s="205"/>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45"/>
      <c r="AD69" s="145"/>
      <c r="AE69" s="150"/>
      <c r="AF69" s="150"/>
      <c r="AG69" s="150"/>
      <c r="AH69" s="145"/>
      <c r="AI69" s="145"/>
      <c r="AJ69" s="145"/>
      <c r="AK69" s="145"/>
      <c r="AL69" s="145"/>
      <c r="AM69" s="145"/>
      <c r="AN69" s="145"/>
      <c r="AO69" s="145"/>
      <c r="AP69" s="145"/>
      <c r="AQ69" s="145"/>
    </row>
    <row r="70" spans="1:74" ht="13.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45"/>
      <c r="AD70" s="145"/>
      <c r="AE70" s="150"/>
      <c r="AF70" s="150"/>
      <c r="AG70" s="150"/>
      <c r="AH70" s="145"/>
      <c r="AI70" s="145"/>
      <c r="AJ70" s="145"/>
      <c r="AK70" s="145"/>
      <c r="AL70" s="145"/>
      <c r="AM70" s="145"/>
      <c r="AN70" s="145"/>
      <c r="AO70" s="145"/>
      <c r="AP70" s="145"/>
      <c r="AQ70" s="145"/>
    </row>
    <row r="71" spans="1:74" ht="13.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45"/>
      <c r="AD71" s="145"/>
      <c r="AE71" s="150"/>
      <c r="AF71" s="150"/>
      <c r="AG71" s="150"/>
      <c r="AH71" s="145"/>
      <c r="AI71" s="145"/>
      <c r="AJ71" s="145"/>
      <c r="AK71" s="145"/>
      <c r="AL71" s="145"/>
      <c r="AM71" s="145"/>
      <c r="AN71" s="145"/>
      <c r="AO71" s="145"/>
      <c r="AP71" s="145"/>
      <c r="AQ71" s="145"/>
    </row>
    <row r="72" spans="1:74" hidden="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45"/>
      <c r="AD72" s="145"/>
      <c r="AE72" s="150"/>
      <c r="AF72" s="150"/>
      <c r="AG72" s="150"/>
      <c r="AH72" s="145"/>
      <c r="AI72" s="145"/>
      <c r="AJ72" s="145"/>
      <c r="AK72" s="145"/>
      <c r="AL72" s="145"/>
      <c r="AM72" s="145"/>
      <c r="AN72" s="145"/>
      <c r="AO72" s="145"/>
      <c r="AP72" s="145"/>
      <c r="AQ72" s="145"/>
    </row>
    <row r="73" spans="1:74">
      <c r="A73" s="150"/>
      <c r="B73" s="150"/>
      <c r="C73" s="150"/>
      <c r="D73" s="150"/>
      <c r="E73" s="150"/>
      <c r="F73" s="150"/>
      <c r="G73" s="150"/>
      <c r="H73" s="150"/>
      <c r="I73" s="150"/>
      <c r="J73" s="150"/>
      <c r="K73" s="150"/>
      <c r="L73" s="150"/>
      <c r="M73" s="150"/>
      <c r="N73" s="150"/>
      <c r="O73" s="150"/>
      <c r="P73" s="150"/>
      <c r="Q73" s="150"/>
      <c r="R73" s="150"/>
      <c r="S73" s="154"/>
      <c r="T73" s="154"/>
      <c r="U73" s="154"/>
      <c r="V73" s="154"/>
      <c r="W73" s="150"/>
      <c r="X73" s="150"/>
      <c r="Y73" s="150"/>
      <c r="Z73" s="150"/>
      <c r="AA73" s="150"/>
      <c r="AB73" s="150"/>
      <c r="AC73" s="145"/>
      <c r="AD73" s="145"/>
      <c r="AE73" s="150"/>
      <c r="AF73" s="150"/>
      <c r="AG73" s="150"/>
      <c r="AH73" s="145"/>
      <c r="AI73" s="145"/>
      <c r="AJ73" s="145"/>
      <c r="AK73" s="145"/>
      <c r="AL73" s="145"/>
      <c r="AM73" s="145"/>
      <c r="AN73" s="145"/>
      <c r="AO73" s="145"/>
      <c r="AP73" s="145"/>
      <c r="AQ73" s="145"/>
    </row>
    <row r="74" spans="1:74">
      <c r="A74" s="150"/>
      <c r="B74" s="150"/>
      <c r="C74" s="150"/>
      <c r="D74" s="150"/>
      <c r="E74" s="150"/>
      <c r="F74" s="150"/>
      <c r="G74" s="150"/>
      <c r="H74" s="150"/>
      <c r="I74" s="150"/>
      <c r="J74" s="150"/>
      <c r="K74" s="150"/>
      <c r="L74" s="150"/>
      <c r="M74" s="150"/>
      <c r="N74" s="150"/>
      <c r="O74" s="150"/>
      <c r="P74" s="150"/>
      <c r="Q74" s="150"/>
      <c r="R74" s="150"/>
      <c r="S74" s="154"/>
      <c r="T74" s="154"/>
      <c r="U74" s="154"/>
      <c r="V74" s="154"/>
      <c r="W74" s="150"/>
      <c r="X74" s="150"/>
      <c r="Y74" s="150"/>
      <c r="Z74" s="150"/>
      <c r="AA74" s="150"/>
      <c r="AB74" s="150"/>
      <c r="AC74" s="145"/>
      <c r="AD74" s="145"/>
      <c r="AE74" s="150"/>
      <c r="AF74" s="150"/>
      <c r="AG74" s="150"/>
      <c r="AH74" s="145"/>
      <c r="AI74" s="145"/>
      <c r="AJ74" s="145"/>
      <c r="AK74" s="145"/>
      <c r="AL74" s="145"/>
      <c r="AM74" s="145"/>
      <c r="AN74" s="145"/>
      <c r="AO74" s="145"/>
      <c r="AP74" s="145"/>
      <c r="AQ74" s="145"/>
    </row>
    <row r="75" spans="1:74" ht="13.5" customHeight="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45"/>
      <c r="AD75" s="145"/>
      <c r="AE75" s="150"/>
      <c r="AF75" s="150"/>
      <c r="AG75" s="150"/>
      <c r="AH75" s="145"/>
      <c r="AI75" s="145"/>
      <c r="AJ75" s="145"/>
      <c r="AK75" s="145"/>
      <c r="AL75" s="145"/>
      <c r="AM75" s="145"/>
      <c r="AN75" s="145"/>
      <c r="AO75" s="145"/>
      <c r="AP75" s="145"/>
      <c r="AQ75" s="145"/>
    </row>
    <row r="76" spans="1:74" s="24" customFormat="1">
      <c r="A76" s="150"/>
      <c r="B76" s="150"/>
      <c r="C76" s="150"/>
      <c r="D76" s="150"/>
      <c r="E76" s="150"/>
      <c r="F76" s="150"/>
      <c r="G76" s="150"/>
      <c r="H76" s="150"/>
      <c r="I76" s="150"/>
      <c r="J76" s="150"/>
      <c r="K76" s="150"/>
      <c r="L76" s="150"/>
      <c r="M76" s="150"/>
      <c r="N76" s="150"/>
      <c r="O76" s="150"/>
      <c r="P76" s="150"/>
      <c r="Q76" s="150"/>
      <c r="R76" s="150"/>
      <c r="S76" s="154"/>
      <c r="T76" s="154"/>
      <c r="U76" s="154"/>
      <c r="V76" s="154"/>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row>
    <row r="77" spans="1:74" s="24" customFormat="1">
      <c r="A77" s="150"/>
      <c r="B77" s="150"/>
      <c r="C77" s="150"/>
      <c r="D77" s="150"/>
      <c r="E77" s="150"/>
      <c r="F77" s="150"/>
      <c r="G77" s="150"/>
      <c r="H77" s="150"/>
      <c r="I77" s="150"/>
      <c r="J77" s="150"/>
      <c r="K77" s="150"/>
      <c r="L77" s="150"/>
      <c r="M77" s="150"/>
      <c r="N77" s="150"/>
      <c r="O77" s="150"/>
      <c r="P77" s="150"/>
      <c r="Q77" s="150"/>
      <c r="R77" s="150"/>
      <c r="S77" s="154"/>
      <c r="T77" s="154"/>
      <c r="U77" s="154"/>
      <c r="V77" s="154"/>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row>
    <row r="78" spans="1:74" s="24" customFormat="1">
      <c r="A78" s="150"/>
      <c r="B78" s="150"/>
      <c r="C78" s="150"/>
      <c r="D78" s="154"/>
      <c r="E78" s="154"/>
      <c r="F78" s="154"/>
      <c r="G78" s="154"/>
      <c r="H78" s="154"/>
      <c r="I78" s="154"/>
      <c r="J78" s="154"/>
      <c r="K78" s="154"/>
      <c r="L78" s="154"/>
      <c r="M78" s="154"/>
      <c r="N78" s="154"/>
      <c r="O78" s="154"/>
      <c r="P78" s="154"/>
      <c r="Q78" s="154"/>
      <c r="R78" s="154"/>
      <c r="S78" s="154"/>
      <c r="T78" s="154"/>
      <c r="U78" s="154"/>
      <c r="V78" s="154"/>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row>
    <row r="79" spans="1:74" s="24" customFormat="1">
      <c r="A79" s="150"/>
      <c r="B79" s="150"/>
      <c r="C79" s="150"/>
      <c r="D79" s="150"/>
      <c r="E79" s="150"/>
      <c r="F79" s="150"/>
      <c r="G79" s="150"/>
      <c r="H79" s="150"/>
      <c r="I79" s="150"/>
      <c r="J79" s="150"/>
      <c r="K79" s="150"/>
      <c r="L79" s="150"/>
      <c r="M79" s="150"/>
      <c r="N79" s="150"/>
      <c r="O79" s="150"/>
      <c r="P79" s="150"/>
      <c r="Q79" s="150"/>
      <c r="R79" s="150"/>
      <c r="S79" s="154"/>
      <c r="T79" s="154"/>
      <c r="U79" s="154"/>
      <c r="V79" s="154"/>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row>
    <row r="80" spans="1:74" s="24" customFormat="1">
      <c r="A80" s="150"/>
      <c r="B80" s="150"/>
      <c r="C80" s="150"/>
      <c r="D80" s="150"/>
      <c r="E80" s="150"/>
      <c r="F80" s="150"/>
      <c r="G80" s="150"/>
      <c r="H80" s="150"/>
      <c r="I80" s="150"/>
      <c r="J80" s="150"/>
      <c r="K80" s="150"/>
      <c r="L80" s="150"/>
      <c r="M80" s="150"/>
      <c r="N80" s="150"/>
      <c r="O80" s="150"/>
      <c r="P80" s="150"/>
      <c r="Q80" s="150"/>
      <c r="R80" s="150"/>
      <c r="S80" s="264"/>
      <c r="T80" s="264"/>
      <c r="U80" s="264"/>
      <c r="V80" s="264"/>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row>
    <row r="81" spans="1:74" s="24" customFormat="1">
      <c r="A81" s="150"/>
      <c r="B81" s="150"/>
      <c r="C81" s="150"/>
      <c r="D81" s="150"/>
      <c r="E81" s="150"/>
      <c r="F81" s="150"/>
      <c r="G81" s="150"/>
      <c r="H81" s="150"/>
      <c r="I81" s="150"/>
      <c r="J81" s="150"/>
      <c r="K81" s="150"/>
      <c r="L81" s="150"/>
      <c r="M81" s="150"/>
      <c r="N81" s="150"/>
      <c r="O81" s="150"/>
      <c r="P81" s="150"/>
      <c r="Q81" s="150"/>
      <c r="R81" s="150"/>
      <c r="S81" s="264"/>
      <c r="T81" s="264"/>
      <c r="U81" s="264"/>
      <c r="V81" s="264"/>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row>
    <row r="82" spans="1:74" s="24" customFormat="1">
      <c r="A82" s="150"/>
      <c r="B82" s="150"/>
      <c r="C82" s="150"/>
      <c r="D82" s="150"/>
      <c r="E82" s="150"/>
      <c r="F82" s="150"/>
      <c r="G82" s="150"/>
      <c r="H82" s="150"/>
      <c r="I82" s="150"/>
      <c r="J82" s="150"/>
      <c r="K82" s="150"/>
      <c r="L82" s="150"/>
      <c r="M82" s="150"/>
      <c r="N82" s="150"/>
      <c r="O82" s="150"/>
      <c r="P82" s="150"/>
      <c r="Q82" s="150"/>
      <c r="R82" s="150"/>
      <c r="S82" s="264"/>
      <c r="T82" s="264"/>
      <c r="U82" s="264"/>
      <c r="V82" s="264"/>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row>
    <row r="83" spans="1:74" s="24" customFormat="1">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row>
    <row r="84" spans="1:74" ht="13.5" customHeight="1">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45"/>
      <c r="AD84" s="145"/>
      <c r="AE84" s="150"/>
      <c r="AF84" s="150"/>
      <c r="AG84" s="150"/>
      <c r="AH84" s="145"/>
      <c r="AI84" s="145"/>
      <c r="AJ84" s="145"/>
      <c r="AK84" s="145"/>
      <c r="AL84" s="145"/>
      <c r="AM84" s="145"/>
      <c r="AN84" s="145"/>
      <c r="AO84" s="145"/>
      <c r="AP84" s="145"/>
      <c r="AQ84" s="145"/>
    </row>
    <row r="85" spans="1:74" ht="13.5" customHeight="1">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45"/>
      <c r="AD85" s="145"/>
      <c r="AE85" s="150"/>
      <c r="AF85" s="150"/>
      <c r="AG85" s="150"/>
      <c r="AH85" s="145"/>
      <c r="AI85" s="145"/>
      <c r="AJ85" s="145"/>
      <c r="AK85" s="145"/>
      <c r="AL85" s="145"/>
      <c r="AM85" s="145"/>
      <c r="AN85" s="145"/>
      <c r="AO85" s="145"/>
      <c r="AP85" s="145"/>
      <c r="AQ85" s="145"/>
    </row>
    <row r="86" spans="1:74" ht="13.5" customHeight="1">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45"/>
      <c r="AD86" s="145"/>
      <c r="AE86" s="150"/>
      <c r="AF86" s="150"/>
      <c r="AG86" s="150"/>
      <c r="AH86" s="145"/>
      <c r="AI86" s="145"/>
      <c r="AJ86" s="145"/>
      <c r="AK86" s="145"/>
      <c r="AL86" s="145"/>
      <c r="AM86" s="145"/>
      <c r="AN86" s="145"/>
      <c r="AO86" s="145"/>
      <c r="AP86" s="145"/>
      <c r="AQ86" s="145"/>
    </row>
    <row r="87" spans="1:74" ht="13.5" customHeight="1">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45"/>
      <c r="AD87" s="145"/>
      <c r="AE87" s="150"/>
      <c r="AF87" s="150"/>
      <c r="AG87" s="150"/>
      <c r="AH87" s="145"/>
      <c r="AI87" s="145"/>
      <c r="AJ87" s="145"/>
      <c r="AK87" s="145"/>
      <c r="AL87" s="145"/>
      <c r="AM87" s="145"/>
      <c r="AN87" s="145"/>
      <c r="AO87" s="145"/>
      <c r="AP87" s="145"/>
      <c r="AQ87" s="145"/>
    </row>
    <row r="88" spans="1:74" ht="13.5" customHeight="1">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45"/>
      <c r="AD88" s="145"/>
      <c r="AE88" s="150"/>
      <c r="AF88" s="150"/>
      <c r="AG88" s="150"/>
      <c r="AH88" s="145"/>
      <c r="AI88" s="145"/>
      <c r="AJ88" s="145"/>
      <c r="AK88" s="145"/>
      <c r="AL88" s="145"/>
      <c r="AM88" s="145"/>
      <c r="AN88" s="145"/>
      <c r="AO88" s="145"/>
      <c r="AP88" s="145"/>
      <c r="AQ88" s="145"/>
    </row>
    <row r="89" spans="1:74" ht="13.5" customHeight="1">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45"/>
      <c r="AD89" s="145"/>
      <c r="AE89" s="150"/>
      <c r="AF89" s="150"/>
      <c r="AG89" s="150"/>
      <c r="AH89" s="145"/>
      <c r="AI89" s="145"/>
      <c r="AJ89" s="145"/>
      <c r="AK89" s="145"/>
      <c r="AL89" s="145"/>
      <c r="AM89" s="145"/>
      <c r="AN89" s="145"/>
      <c r="AO89" s="145"/>
      <c r="AP89" s="145"/>
      <c r="AQ89" s="145"/>
    </row>
    <row r="90" spans="1:74" ht="13.5" customHeight="1">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45"/>
      <c r="AD90" s="145"/>
      <c r="AE90" s="150"/>
      <c r="AF90" s="150"/>
      <c r="AG90" s="150"/>
      <c r="AH90" s="145"/>
      <c r="AI90" s="145"/>
      <c r="AJ90" s="145"/>
      <c r="AK90" s="145"/>
      <c r="AL90" s="145"/>
      <c r="AM90" s="145"/>
      <c r="AN90" s="145"/>
      <c r="AO90" s="145"/>
      <c r="AP90" s="145"/>
      <c r="AQ90" s="145"/>
    </row>
    <row r="91" spans="1:74" ht="13.5" customHeight="1">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45"/>
      <c r="AD91" s="145"/>
      <c r="AE91" s="150"/>
      <c r="AF91" s="150"/>
      <c r="AG91" s="150"/>
      <c r="AH91" s="145"/>
      <c r="AI91" s="145"/>
      <c r="AJ91" s="145"/>
      <c r="AK91" s="145"/>
      <c r="AL91" s="145"/>
      <c r="AM91" s="145"/>
      <c r="AN91" s="145"/>
      <c r="AO91" s="145"/>
      <c r="AP91" s="145"/>
      <c r="AQ91" s="145"/>
    </row>
    <row r="92" spans="1:74" ht="13.5" customHeight="1">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45"/>
      <c r="AD92" s="145"/>
      <c r="AE92" s="150"/>
      <c r="AF92" s="150"/>
      <c r="AG92" s="150"/>
      <c r="AH92" s="145"/>
      <c r="AI92" s="145"/>
      <c r="AJ92" s="145"/>
      <c r="AK92" s="145"/>
      <c r="AL92" s="145"/>
      <c r="AM92" s="145"/>
      <c r="AN92" s="145"/>
      <c r="AO92" s="145"/>
      <c r="AP92" s="145"/>
      <c r="AQ92" s="145"/>
    </row>
    <row r="93" spans="1:74" ht="13.5" customHeight="1">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45"/>
      <c r="AD93" s="145"/>
      <c r="AE93" s="150"/>
      <c r="AF93" s="150"/>
      <c r="AG93" s="150"/>
      <c r="AH93" s="145"/>
      <c r="AI93" s="145"/>
      <c r="AJ93" s="145"/>
      <c r="AK93" s="145"/>
      <c r="AL93" s="145"/>
      <c r="AM93" s="145"/>
      <c r="AN93" s="145"/>
      <c r="AO93" s="145"/>
      <c r="AP93" s="145"/>
      <c r="AQ93" s="145"/>
    </row>
    <row r="94" spans="1:74" ht="13.5" customHeight="1">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45"/>
      <c r="AD94" s="145"/>
      <c r="AE94" s="150"/>
      <c r="AF94" s="150"/>
      <c r="AG94" s="150"/>
      <c r="AH94" s="145"/>
      <c r="AI94" s="145"/>
      <c r="AJ94" s="145"/>
      <c r="AK94" s="145"/>
      <c r="AL94" s="145"/>
      <c r="AM94" s="145"/>
      <c r="AN94" s="145"/>
      <c r="AO94" s="145"/>
      <c r="AP94" s="145"/>
      <c r="AQ94" s="145"/>
    </row>
    <row r="95" spans="1:74" ht="13.5" customHeight="1">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45"/>
      <c r="AD95" s="145"/>
      <c r="AE95" s="150"/>
      <c r="AF95" s="150"/>
      <c r="AG95" s="150"/>
      <c r="AH95" s="145"/>
      <c r="AI95" s="145"/>
      <c r="AJ95" s="145"/>
      <c r="AK95" s="145"/>
      <c r="AL95" s="145"/>
      <c r="AM95" s="145"/>
      <c r="AN95" s="145"/>
      <c r="AO95" s="145"/>
      <c r="AP95" s="145"/>
      <c r="AQ95" s="145"/>
    </row>
    <row r="96" spans="1:74" ht="13.5" customHeight="1">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45"/>
      <c r="AD96" s="145"/>
      <c r="AE96" s="150"/>
      <c r="AF96" s="150"/>
      <c r="AG96" s="150"/>
      <c r="AH96" s="145"/>
      <c r="AI96" s="145"/>
      <c r="AJ96" s="145"/>
      <c r="AK96" s="145"/>
      <c r="AL96" s="145"/>
      <c r="AM96" s="145"/>
      <c r="AN96" s="145"/>
      <c r="AO96" s="145"/>
      <c r="AP96" s="145"/>
      <c r="AQ96" s="145"/>
    </row>
    <row r="97" spans="1:43" ht="13.5" customHeight="1">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45"/>
      <c r="AD97" s="145"/>
      <c r="AE97" s="150"/>
      <c r="AF97" s="150"/>
      <c r="AG97" s="150"/>
      <c r="AH97" s="145"/>
      <c r="AI97" s="145"/>
      <c r="AJ97" s="145"/>
      <c r="AK97" s="145"/>
      <c r="AL97" s="145"/>
      <c r="AM97" s="145"/>
      <c r="AN97" s="145"/>
      <c r="AO97" s="145"/>
      <c r="AP97" s="145"/>
      <c r="AQ97" s="145"/>
    </row>
    <row r="98" spans="1:43" ht="13.5" customHeight="1">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45"/>
      <c r="AD98" s="145"/>
      <c r="AE98" s="150"/>
      <c r="AF98" s="150"/>
      <c r="AG98" s="150"/>
      <c r="AH98" s="145"/>
      <c r="AI98" s="145"/>
      <c r="AJ98" s="145"/>
      <c r="AK98" s="145"/>
      <c r="AL98" s="145"/>
      <c r="AM98" s="145"/>
      <c r="AN98" s="145"/>
      <c r="AO98" s="145"/>
      <c r="AP98" s="145"/>
      <c r="AQ98" s="145"/>
    </row>
    <row r="99" spans="1:43" ht="13.5" customHeight="1">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45"/>
      <c r="AD99" s="145"/>
      <c r="AE99" s="150"/>
      <c r="AF99" s="150"/>
      <c r="AG99" s="150"/>
      <c r="AH99" s="145"/>
      <c r="AI99" s="145"/>
      <c r="AJ99" s="145"/>
      <c r="AK99" s="145"/>
      <c r="AL99" s="145"/>
      <c r="AM99" s="145"/>
      <c r="AN99" s="145"/>
      <c r="AO99" s="145"/>
      <c r="AP99" s="145"/>
      <c r="AQ99" s="145"/>
    </row>
    <row r="100" spans="1:43" ht="13.5" customHeight="1">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45"/>
      <c r="AD100" s="145"/>
      <c r="AE100" s="150"/>
      <c r="AF100" s="150"/>
      <c r="AG100" s="150"/>
      <c r="AH100" s="145"/>
      <c r="AI100" s="145"/>
      <c r="AJ100" s="145"/>
      <c r="AK100" s="145"/>
      <c r="AL100" s="145"/>
      <c r="AM100" s="145"/>
      <c r="AN100" s="145"/>
      <c r="AO100" s="145"/>
      <c r="AP100" s="145"/>
      <c r="AQ100" s="145"/>
    </row>
    <row r="101" spans="1:43" ht="13.5" customHeight="1">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45"/>
      <c r="AD101" s="145"/>
      <c r="AE101" s="150"/>
      <c r="AF101" s="150"/>
      <c r="AG101" s="150"/>
      <c r="AH101" s="145"/>
      <c r="AI101" s="145"/>
      <c r="AJ101" s="145"/>
      <c r="AK101" s="145"/>
      <c r="AL101" s="145"/>
      <c r="AM101" s="145"/>
      <c r="AN101" s="145"/>
      <c r="AO101" s="145"/>
      <c r="AP101" s="145"/>
      <c r="AQ101" s="145"/>
    </row>
    <row r="102" spans="1:43" ht="13.5" customHeight="1">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45"/>
      <c r="AD102" s="145"/>
      <c r="AE102" s="150"/>
      <c r="AF102" s="150"/>
      <c r="AG102" s="150"/>
      <c r="AH102" s="145"/>
      <c r="AI102" s="145"/>
      <c r="AJ102" s="145"/>
      <c r="AK102" s="145"/>
      <c r="AL102" s="145"/>
      <c r="AM102" s="145"/>
      <c r="AN102" s="145"/>
      <c r="AO102" s="145"/>
      <c r="AP102" s="145"/>
      <c r="AQ102" s="145"/>
    </row>
    <row r="103" spans="1:43" ht="13.5" customHeight="1">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45"/>
      <c r="AD103" s="145"/>
      <c r="AE103" s="150"/>
      <c r="AF103" s="150"/>
      <c r="AG103" s="150"/>
      <c r="AH103" s="145"/>
      <c r="AI103" s="145"/>
      <c r="AJ103" s="145"/>
      <c r="AK103" s="145"/>
      <c r="AL103" s="145"/>
      <c r="AM103" s="145"/>
      <c r="AN103" s="145"/>
      <c r="AO103" s="145"/>
      <c r="AP103" s="145"/>
      <c r="AQ103" s="145"/>
    </row>
    <row r="104" spans="1:43" ht="13.5" customHeight="1">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45"/>
      <c r="AD104" s="145"/>
      <c r="AE104" s="150"/>
      <c r="AF104" s="150"/>
      <c r="AG104" s="150"/>
      <c r="AH104" s="145"/>
      <c r="AI104" s="145"/>
      <c r="AJ104" s="145"/>
      <c r="AK104" s="145"/>
      <c r="AL104" s="145"/>
      <c r="AM104" s="145"/>
      <c r="AN104" s="145"/>
      <c r="AO104" s="145"/>
      <c r="AP104" s="145"/>
      <c r="AQ104" s="145"/>
    </row>
    <row r="105" spans="1:43" ht="13.5" customHeight="1">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45"/>
      <c r="AD105" s="145"/>
      <c r="AE105" s="150"/>
      <c r="AF105" s="150"/>
      <c r="AG105" s="150"/>
      <c r="AH105" s="145"/>
      <c r="AI105" s="145"/>
      <c r="AJ105" s="145"/>
      <c r="AK105" s="145"/>
      <c r="AL105" s="145"/>
      <c r="AM105" s="145"/>
      <c r="AN105" s="145"/>
      <c r="AO105" s="145"/>
      <c r="AP105" s="145"/>
      <c r="AQ105" s="145"/>
    </row>
    <row r="106" spans="1:43" ht="13.5" customHeight="1">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45"/>
      <c r="AD106" s="145"/>
      <c r="AE106" s="150"/>
      <c r="AF106" s="150"/>
      <c r="AG106" s="150"/>
      <c r="AH106" s="145"/>
      <c r="AI106" s="145"/>
      <c r="AJ106" s="145"/>
      <c r="AK106" s="145"/>
      <c r="AL106" s="145"/>
      <c r="AM106" s="145"/>
      <c r="AN106" s="145"/>
      <c r="AO106" s="145"/>
      <c r="AP106" s="145"/>
      <c r="AQ106" s="145"/>
    </row>
    <row r="107" spans="1:43" ht="13.5" customHeight="1">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45"/>
      <c r="AD107" s="145"/>
      <c r="AE107" s="150"/>
      <c r="AF107" s="150"/>
      <c r="AG107" s="150"/>
      <c r="AH107" s="145"/>
      <c r="AI107" s="145"/>
      <c r="AJ107" s="145"/>
      <c r="AK107" s="145"/>
      <c r="AL107" s="145"/>
      <c r="AM107" s="145"/>
      <c r="AN107" s="145"/>
      <c r="AO107" s="145"/>
      <c r="AP107" s="145"/>
      <c r="AQ107" s="145"/>
    </row>
    <row r="108" spans="1:43" ht="13.5" customHeight="1">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45"/>
      <c r="AD108" s="145"/>
      <c r="AE108" s="150"/>
      <c r="AF108" s="150"/>
      <c r="AG108" s="150"/>
      <c r="AH108" s="145"/>
      <c r="AI108" s="145"/>
      <c r="AJ108" s="145"/>
      <c r="AK108" s="145"/>
      <c r="AL108" s="145"/>
      <c r="AM108" s="145"/>
      <c r="AN108" s="145"/>
      <c r="AO108" s="145"/>
      <c r="AP108" s="145"/>
      <c r="AQ108" s="145"/>
    </row>
    <row r="109" spans="1:43" ht="13.5" customHeight="1">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45"/>
      <c r="AD109" s="145"/>
      <c r="AE109" s="150"/>
      <c r="AF109" s="150"/>
      <c r="AG109" s="150"/>
      <c r="AH109" s="145"/>
      <c r="AI109" s="145"/>
      <c r="AJ109" s="145"/>
      <c r="AK109" s="145"/>
      <c r="AL109" s="145"/>
      <c r="AM109" s="145"/>
      <c r="AN109" s="145"/>
      <c r="AO109" s="145"/>
      <c r="AP109" s="145"/>
      <c r="AQ109" s="145"/>
    </row>
    <row r="110" spans="1:43" ht="13.5" customHeight="1">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45"/>
      <c r="AD110" s="145"/>
      <c r="AE110" s="150"/>
      <c r="AF110" s="150"/>
      <c r="AG110" s="150"/>
      <c r="AH110" s="145"/>
      <c r="AI110" s="145"/>
      <c r="AJ110" s="145"/>
      <c r="AK110" s="145"/>
      <c r="AL110" s="145"/>
      <c r="AM110" s="145"/>
      <c r="AN110" s="145"/>
      <c r="AO110" s="145"/>
      <c r="AP110" s="145"/>
      <c r="AQ110" s="145"/>
    </row>
    <row r="111" spans="1:43" ht="13.5" customHeight="1">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45"/>
      <c r="AD111" s="145"/>
      <c r="AE111" s="150"/>
      <c r="AF111" s="150"/>
      <c r="AG111" s="150"/>
      <c r="AH111" s="145"/>
      <c r="AI111" s="145"/>
      <c r="AJ111" s="145"/>
      <c r="AK111" s="145"/>
      <c r="AL111" s="145"/>
      <c r="AM111" s="145"/>
      <c r="AN111" s="145"/>
      <c r="AO111" s="145"/>
      <c r="AP111" s="145"/>
      <c r="AQ111" s="145"/>
    </row>
    <row r="112" spans="1:43" ht="13.5" customHeight="1">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45"/>
      <c r="AD112" s="145"/>
      <c r="AE112" s="150"/>
      <c r="AF112" s="150"/>
      <c r="AG112" s="150"/>
      <c r="AH112" s="145"/>
      <c r="AI112" s="145"/>
      <c r="AJ112" s="145"/>
      <c r="AK112" s="145"/>
      <c r="AL112" s="145"/>
      <c r="AM112" s="145"/>
      <c r="AN112" s="145"/>
      <c r="AO112" s="145"/>
      <c r="AP112" s="145"/>
      <c r="AQ112" s="145"/>
    </row>
    <row r="113" spans="1:43" ht="13.5" customHeight="1">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45"/>
      <c r="AD113" s="145"/>
      <c r="AE113" s="150"/>
      <c r="AF113" s="150"/>
      <c r="AG113" s="150"/>
      <c r="AH113" s="145"/>
      <c r="AI113" s="145"/>
      <c r="AJ113" s="145"/>
      <c r="AK113" s="145"/>
      <c r="AL113" s="145"/>
      <c r="AM113" s="145"/>
      <c r="AN113" s="145"/>
      <c r="AO113" s="145"/>
      <c r="AP113" s="145"/>
      <c r="AQ113" s="145"/>
    </row>
    <row r="114" spans="1:43" ht="13.5" customHeight="1">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45"/>
      <c r="AD114" s="145"/>
      <c r="AE114" s="150"/>
      <c r="AF114" s="150"/>
      <c r="AG114" s="150"/>
      <c r="AH114" s="145"/>
      <c r="AI114" s="145"/>
      <c r="AJ114" s="145"/>
      <c r="AK114" s="145"/>
      <c r="AL114" s="145"/>
      <c r="AM114" s="145"/>
      <c r="AN114" s="145"/>
      <c r="AO114" s="145"/>
      <c r="AP114" s="145"/>
      <c r="AQ114" s="145"/>
    </row>
    <row r="115" spans="1:43" ht="13.5" customHeight="1">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45"/>
      <c r="AD115" s="145"/>
      <c r="AE115" s="150"/>
      <c r="AF115" s="150"/>
      <c r="AG115" s="150"/>
      <c r="AH115" s="145"/>
      <c r="AI115" s="145"/>
      <c r="AJ115" s="145"/>
      <c r="AK115" s="145"/>
      <c r="AL115" s="145"/>
      <c r="AM115" s="145"/>
      <c r="AN115" s="145"/>
      <c r="AO115" s="145"/>
      <c r="AP115" s="145"/>
      <c r="AQ115" s="145"/>
    </row>
    <row r="116" spans="1:43" ht="13.5" customHeight="1">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45"/>
      <c r="AD116" s="145"/>
      <c r="AE116" s="150"/>
      <c r="AF116" s="150"/>
      <c r="AG116" s="150"/>
      <c r="AH116" s="145"/>
      <c r="AI116" s="145"/>
      <c r="AJ116" s="145"/>
      <c r="AK116" s="145"/>
      <c r="AL116" s="145"/>
      <c r="AM116" s="145"/>
      <c r="AN116" s="145"/>
      <c r="AO116" s="145"/>
      <c r="AP116" s="145"/>
      <c r="AQ116" s="145"/>
    </row>
    <row r="117" spans="1:43" ht="13.5" customHeigh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45"/>
      <c r="AD117" s="145"/>
      <c r="AE117" s="150"/>
      <c r="AF117" s="150"/>
      <c r="AG117" s="150"/>
      <c r="AH117" s="145"/>
      <c r="AI117" s="145"/>
      <c r="AJ117" s="145"/>
      <c r="AK117" s="145"/>
      <c r="AL117" s="145"/>
      <c r="AM117" s="145"/>
      <c r="AN117" s="145"/>
      <c r="AO117" s="145"/>
      <c r="AP117" s="145"/>
      <c r="AQ117" s="145"/>
    </row>
    <row r="118" spans="1:43" ht="13.5" customHeight="1">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45"/>
      <c r="AD118" s="145"/>
      <c r="AE118" s="150"/>
      <c r="AF118" s="150"/>
      <c r="AG118" s="150"/>
      <c r="AH118" s="145"/>
      <c r="AI118" s="145"/>
      <c r="AJ118" s="145"/>
      <c r="AK118" s="145"/>
      <c r="AL118" s="145"/>
      <c r="AM118" s="145"/>
      <c r="AN118" s="145"/>
      <c r="AO118" s="145"/>
      <c r="AP118" s="145"/>
      <c r="AQ118" s="145"/>
    </row>
    <row r="119" spans="1:43" ht="13.5" customHeight="1">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45"/>
      <c r="AD119" s="145"/>
      <c r="AE119" s="150"/>
      <c r="AF119" s="150"/>
      <c r="AG119" s="150"/>
      <c r="AH119" s="145"/>
      <c r="AI119" s="145"/>
      <c r="AJ119" s="145"/>
      <c r="AK119" s="145"/>
      <c r="AL119" s="145"/>
      <c r="AM119" s="145"/>
      <c r="AN119" s="145"/>
      <c r="AO119" s="145"/>
      <c r="AP119" s="145"/>
      <c r="AQ119" s="145"/>
    </row>
    <row r="120" spans="1:43" ht="13.5" customHeight="1">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45"/>
      <c r="AD120" s="145"/>
      <c r="AE120" s="150"/>
      <c r="AF120" s="150"/>
      <c r="AG120" s="150"/>
      <c r="AH120" s="145"/>
      <c r="AI120" s="145"/>
      <c r="AJ120" s="145"/>
      <c r="AK120" s="145"/>
      <c r="AL120" s="145"/>
      <c r="AM120" s="145"/>
      <c r="AN120" s="145"/>
      <c r="AO120" s="145"/>
      <c r="AP120" s="145"/>
      <c r="AQ120" s="145"/>
    </row>
    <row r="121" spans="1:43" ht="13.5" customHeight="1">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45"/>
      <c r="AD121" s="145"/>
      <c r="AE121" s="150"/>
      <c r="AF121" s="150"/>
      <c r="AG121" s="150"/>
      <c r="AH121" s="145"/>
      <c r="AI121" s="145"/>
      <c r="AJ121" s="145"/>
      <c r="AK121" s="145"/>
      <c r="AL121" s="145"/>
      <c r="AM121" s="145"/>
      <c r="AN121" s="145"/>
      <c r="AO121" s="145"/>
      <c r="AP121" s="145"/>
      <c r="AQ121" s="145"/>
    </row>
    <row r="122" spans="1:43" ht="13.5" customHeight="1">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45"/>
      <c r="AD122" s="145"/>
      <c r="AE122" s="150"/>
      <c r="AF122" s="150"/>
      <c r="AG122" s="150"/>
      <c r="AH122" s="145"/>
      <c r="AI122" s="145"/>
      <c r="AJ122" s="145"/>
      <c r="AK122" s="145"/>
      <c r="AL122" s="145"/>
      <c r="AM122" s="145"/>
      <c r="AN122" s="145"/>
      <c r="AO122" s="145"/>
      <c r="AP122" s="145"/>
      <c r="AQ122" s="145"/>
    </row>
    <row r="123" spans="1:43" ht="13.5" customHeight="1">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45"/>
      <c r="AD123" s="145"/>
      <c r="AE123" s="150"/>
      <c r="AF123" s="150"/>
      <c r="AG123" s="150"/>
      <c r="AH123" s="145"/>
      <c r="AI123" s="145"/>
      <c r="AJ123" s="145"/>
      <c r="AK123" s="145"/>
      <c r="AL123" s="145"/>
      <c r="AM123" s="145"/>
      <c r="AN123" s="145"/>
      <c r="AO123" s="145"/>
      <c r="AP123" s="145"/>
      <c r="AQ123" s="145"/>
    </row>
    <row r="124" spans="1:43" ht="13.5" customHeight="1">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45"/>
      <c r="AD124" s="145"/>
      <c r="AE124" s="150"/>
      <c r="AF124" s="150"/>
      <c r="AG124" s="150"/>
      <c r="AH124" s="145"/>
      <c r="AI124" s="145"/>
      <c r="AJ124" s="145"/>
      <c r="AK124" s="145"/>
      <c r="AL124" s="145"/>
      <c r="AM124" s="145"/>
      <c r="AN124" s="145"/>
      <c r="AO124" s="145"/>
      <c r="AP124" s="145"/>
      <c r="AQ124" s="145"/>
    </row>
    <row r="125" spans="1:43" ht="13.5" customHeight="1">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45"/>
      <c r="AD125" s="145"/>
      <c r="AE125" s="150"/>
      <c r="AF125" s="150"/>
      <c r="AG125" s="150"/>
      <c r="AH125" s="145"/>
      <c r="AI125" s="145"/>
      <c r="AJ125" s="145"/>
      <c r="AK125" s="145"/>
      <c r="AL125" s="145"/>
      <c r="AM125" s="145"/>
      <c r="AN125" s="145"/>
      <c r="AO125" s="145"/>
      <c r="AP125" s="145"/>
      <c r="AQ125" s="145"/>
    </row>
    <row r="126" spans="1:43" ht="13.5" customHeight="1">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45"/>
      <c r="AD126" s="145"/>
      <c r="AE126" s="150"/>
      <c r="AF126" s="150"/>
      <c r="AG126" s="150"/>
      <c r="AH126" s="145"/>
      <c r="AI126" s="145"/>
      <c r="AJ126" s="145"/>
      <c r="AK126" s="145"/>
      <c r="AL126" s="145"/>
      <c r="AM126" s="145"/>
      <c r="AN126" s="145"/>
      <c r="AO126" s="145"/>
      <c r="AP126" s="145"/>
      <c r="AQ126" s="145"/>
    </row>
    <row r="127" spans="1:43" ht="13.5" customHeight="1">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45"/>
      <c r="AD127" s="145"/>
      <c r="AE127" s="150"/>
      <c r="AF127" s="150"/>
      <c r="AG127" s="150"/>
      <c r="AH127" s="145"/>
      <c r="AI127" s="145"/>
      <c r="AJ127" s="145"/>
      <c r="AK127" s="145"/>
      <c r="AL127" s="145"/>
      <c r="AM127" s="145"/>
      <c r="AN127" s="145"/>
      <c r="AO127" s="145"/>
      <c r="AP127" s="145"/>
      <c r="AQ127" s="145"/>
    </row>
    <row r="128" spans="1:43" ht="13.5" customHeight="1">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45"/>
      <c r="AD128" s="145"/>
      <c r="AE128" s="150"/>
      <c r="AF128" s="150"/>
      <c r="AG128" s="150"/>
      <c r="AH128" s="145"/>
      <c r="AI128" s="145"/>
      <c r="AJ128" s="145"/>
      <c r="AK128" s="145"/>
      <c r="AL128" s="145"/>
      <c r="AM128" s="145"/>
      <c r="AN128" s="145"/>
      <c r="AO128" s="145"/>
      <c r="AP128" s="145"/>
      <c r="AQ128" s="145"/>
    </row>
    <row r="129" spans="1:43" ht="13.5" customHeight="1">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45"/>
      <c r="AD129" s="145"/>
      <c r="AE129" s="150"/>
      <c r="AF129" s="150"/>
      <c r="AG129" s="150"/>
      <c r="AH129" s="145"/>
      <c r="AI129" s="145"/>
      <c r="AJ129" s="145"/>
      <c r="AK129" s="145"/>
      <c r="AL129" s="145"/>
      <c r="AM129" s="145"/>
      <c r="AN129" s="145"/>
      <c r="AO129" s="145"/>
      <c r="AP129" s="145"/>
      <c r="AQ129" s="145"/>
    </row>
    <row r="130" spans="1:43" ht="13.5" customHeight="1">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45"/>
      <c r="AD130" s="145"/>
      <c r="AE130" s="150"/>
      <c r="AF130" s="150"/>
      <c r="AG130" s="150"/>
      <c r="AH130" s="145"/>
      <c r="AI130" s="145"/>
      <c r="AJ130" s="145"/>
      <c r="AK130" s="145"/>
      <c r="AL130" s="145"/>
      <c r="AM130" s="145"/>
      <c r="AN130" s="145"/>
      <c r="AO130" s="145"/>
      <c r="AP130" s="145"/>
      <c r="AQ130" s="145"/>
    </row>
    <row r="131" spans="1:43" ht="13.5" customHeight="1">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45"/>
      <c r="AD131" s="145"/>
      <c r="AE131" s="150"/>
      <c r="AF131" s="150"/>
      <c r="AG131" s="150"/>
      <c r="AH131" s="145"/>
      <c r="AI131" s="145"/>
      <c r="AJ131" s="145"/>
      <c r="AK131" s="145"/>
      <c r="AL131" s="145"/>
      <c r="AM131" s="145"/>
      <c r="AN131" s="145"/>
      <c r="AO131" s="145"/>
      <c r="AP131" s="145"/>
      <c r="AQ131" s="145"/>
    </row>
    <row r="132" spans="1:43" ht="13.5" customHeight="1">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45"/>
      <c r="AD132" s="145"/>
      <c r="AE132" s="150"/>
      <c r="AF132" s="150"/>
      <c r="AG132" s="150"/>
      <c r="AH132" s="145"/>
      <c r="AI132" s="145"/>
      <c r="AJ132" s="145"/>
      <c r="AK132" s="145"/>
      <c r="AL132" s="145"/>
      <c r="AM132" s="145"/>
      <c r="AN132" s="145"/>
      <c r="AO132" s="145"/>
      <c r="AP132" s="145"/>
      <c r="AQ132" s="145"/>
    </row>
    <row r="133" spans="1:43" ht="13.5" customHeight="1">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45"/>
      <c r="AD133" s="145"/>
      <c r="AE133" s="150"/>
      <c r="AF133" s="150"/>
      <c r="AG133" s="150"/>
      <c r="AH133" s="145"/>
      <c r="AI133" s="145"/>
      <c r="AJ133" s="145"/>
      <c r="AK133" s="145"/>
      <c r="AL133" s="145"/>
      <c r="AM133" s="145"/>
      <c r="AN133" s="145"/>
      <c r="AO133" s="145"/>
      <c r="AP133" s="145"/>
      <c r="AQ133" s="145"/>
    </row>
    <row r="134" spans="1:43" ht="13.5" customHeight="1">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45"/>
      <c r="AD134" s="145"/>
      <c r="AE134" s="150"/>
      <c r="AF134" s="150"/>
      <c r="AG134" s="150"/>
      <c r="AH134" s="145"/>
      <c r="AI134" s="145"/>
      <c r="AJ134" s="145"/>
      <c r="AK134" s="145"/>
      <c r="AL134" s="145"/>
      <c r="AM134" s="145"/>
      <c r="AN134" s="145"/>
      <c r="AO134" s="145"/>
      <c r="AP134" s="145"/>
      <c r="AQ134" s="145"/>
    </row>
    <row r="135" spans="1:43" ht="13.5" customHeight="1">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45"/>
      <c r="AD135" s="145"/>
      <c r="AE135" s="150"/>
      <c r="AF135" s="150"/>
      <c r="AG135" s="150"/>
      <c r="AH135" s="145"/>
      <c r="AI135" s="145"/>
      <c r="AJ135" s="145"/>
      <c r="AK135" s="145"/>
      <c r="AL135" s="145"/>
      <c r="AM135" s="145"/>
      <c r="AN135" s="145"/>
      <c r="AO135" s="145"/>
      <c r="AP135" s="145"/>
      <c r="AQ135" s="145"/>
    </row>
    <row r="136" spans="1:43" ht="13.5" customHeight="1">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45"/>
      <c r="AD136" s="145"/>
      <c r="AE136" s="150"/>
      <c r="AF136" s="150"/>
      <c r="AG136" s="150"/>
      <c r="AH136" s="145"/>
      <c r="AI136" s="145"/>
      <c r="AJ136" s="145"/>
      <c r="AK136" s="145"/>
      <c r="AL136" s="145"/>
      <c r="AM136" s="145"/>
      <c r="AN136" s="145"/>
      <c r="AO136" s="145"/>
      <c r="AP136" s="145"/>
      <c r="AQ136" s="145"/>
    </row>
    <row r="137" spans="1:43" ht="13.5" customHeight="1">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45"/>
      <c r="AD137" s="145"/>
      <c r="AE137" s="150"/>
      <c r="AF137" s="150"/>
      <c r="AG137" s="150"/>
      <c r="AH137" s="145"/>
      <c r="AI137" s="145"/>
      <c r="AJ137" s="145"/>
      <c r="AK137" s="145"/>
      <c r="AL137" s="145"/>
      <c r="AM137" s="145"/>
      <c r="AN137" s="145"/>
      <c r="AO137" s="145"/>
      <c r="AP137" s="145"/>
      <c r="AQ137" s="145"/>
    </row>
    <row r="138" spans="1:43" ht="13.5" customHeight="1">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45"/>
      <c r="AD138" s="145"/>
      <c r="AE138" s="150"/>
      <c r="AF138" s="150"/>
      <c r="AG138" s="150"/>
      <c r="AH138" s="145"/>
      <c r="AI138" s="145"/>
      <c r="AJ138" s="145"/>
      <c r="AK138" s="145"/>
      <c r="AL138" s="145"/>
      <c r="AM138" s="145"/>
      <c r="AN138" s="145"/>
      <c r="AO138" s="145"/>
      <c r="AP138" s="145"/>
      <c r="AQ138" s="145"/>
    </row>
    <row r="139" spans="1:43" ht="13.5" customHeight="1">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45"/>
      <c r="AD139" s="145"/>
      <c r="AE139" s="150"/>
      <c r="AF139" s="150"/>
      <c r="AG139" s="150"/>
      <c r="AH139" s="145"/>
      <c r="AI139" s="145"/>
      <c r="AJ139" s="145"/>
      <c r="AK139" s="145"/>
      <c r="AL139" s="145"/>
      <c r="AM139" s="145"/>
      <c r="AN139" s="145"/>
      <c r="AO139" s="145"/>
      <c r="AP139" s="145"/>
      <c r="AQ139" s="145"/>
    </row>
  </sheetData>
  <hyperlinks>
    <hyperlink ref="AQ1" location="'Spis treści_Contents'!A1" display="spis treści"/>
    <hyperlink ref="AQ2" location="'Spis treści_Contents'!A1" display="contents"/>
  </hyperlinks>
  <pageMargins left="0.70866141732283472" right="0.70866141732283472" top="0.74803149606299213" bottom="0.74803149606299213" header="0.31496062992125984" footer="0.31496062992125984"/>
  <pageSetup paperSize="9" scale="44" fitToHeight="0" orientation="portrait" horizontalDpi="4294967295" verticalDpi="4294967295"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Spis treści_Contents</vt:lpstr>
      <vt:lpstr>1_Podstawowe dane_Key data</vt:lpstr>
      <vt:lpstr>2_RZiS_P&amp;L</vt:lpstr>
      <vt:lpstr>3_Odsetkowy_NII</vt:lpstr>
      <vt:lpstr>4_Prowizyjny_F&amp;C</vt:lpstr>
      <vt:lpstr>5_Koszty adm_Adm expenses</vt:lpstr>
      <vt:lpstr>6_Operacyjne_Operating income</vt:lpstr>
      <vt:lpstr>7_Odpisy_Impairments</vt:lpstr>
      <vt:lpstr>8_Bilans_Balance sheet</vt:lpstr>
      <vt:lpstr>9_Kredyty_Loans</vt:lpstr>
      <vt:lpstr>9a_Kredyty Loans_OLD</vt:lpstr>
      <vt:lpstr>10_Jakość portfela_Portf. quali</vt:lpstr>
      <vt:lpstr>10a_Jakość portf._Port qual_OLD</vt:lpstr>
      <vt:lpstr>11_Depozyty_Deposits</vt:lpstr>
      <vt:lpstr>11a_Depozyty Deposits_OLD</vt:lpstr>
      <vt:lpstr>12_Adekwatność_Capital adequacy</vt:lpstr>
      <vt:lpstr>13_RZiS_Detal_P&amp;L_Retail</vt:lpstr>
      <vt:lpstr>14_RZiS_C&amp;I_P&amp;L_C&amp;I</vt:lpstr>
      <vt:lpstr>'1_Podstawowe dane_Key data'!Obszar_wydruku</vt:lpstr>
      <vt:lpstr>'10_Jakość portfela_Portf. quali'!Obszar_wydruku</vt:lpstr>
      <vt:lpstr>'10a_Jakość portf._Port qual_OLD'!Obszar_wydruku</vt:lpstr>
      <vt:lpstr>'11_Depozyty_Deposits'!Obszar_wydruku</vt:lpstr>
      <vt:lpstr>'11a_Depozyty Deposits_OLD'!Obszar_wydruku</vt:lpstr>
      <vt:lpstr>'12_Adekwatność_Capital adequacy'!Obszar_wydruku</vt:lpstr>
      <vt:lpstr>'13_RZiS_Detal_P&amp;L_Retail'!Obszar_wydruku</vt:lpstr>
      <vt:lpstr>'14_RZiS_C&amp;I_P&amp;L_C&amp;I'!Obszar_wydruku</vt:lpstr>
      <vt:lpstr>'2_RZiS_P&amp;L'!Obszar_wydruku</vt:lpstr>
      <vt:lpstr>'3_Odsetkowy_NII'!Obszar_wydruku</vt:lpstr>
      <vt:lpstr>'4_Prowizyjny_F&amp;C'!Obszar_wydruku</vt:lpstr>
      <vt:lpstr>'5_Koszty adm_Adm expenses'!Obszar_wydruku</vt:lpstr>
      <vt:lpstr>'6_Operacyjne_Operating income'!Obszar_wydruku</vt:lpstr>
      <vt:lpstr>'7_Odpisy_Impairments'!Obszar_wydruku</vt:lpstr>
      <vt:lpstr>'8_Bilans_Balance sheet'!Obszar_wydruku</vt:lpstr>
      <vt:lpstr>'9_Kredyty_Loans'!Obszar_wydruku</vt:lpstr>
      <vt:lpstr>'9a_Kredyty Loans_OLD'!Obszar_wydruku</vt:lpstr>
      <vt:lpstr>'Spis treści_Contents'!Obszar_wydruku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bartosz</dc:creator>
  <cp:lastModifiedBy>Windows User</cp:lastModifiedBy>
  <cp:lastPrinted>2019-03-01T13:45:46Z</cp:lastPrinted>
  <dcterms:created xsi:type="dcterms:W3CDTF">2014-04-15T10:03:30Z</dcterms:created>
  <dcterms:modified xsi:type="dcterms:W3CDTF">2019-03-04T14:45:52Z</dcterms:modified>
</cp:coreProperties>
</file>